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jantz\Dropbox (ISI Online)\NSO 2019 Apr - Home Office Presentations\Finance\"/>
    </mc:Choice>
  </mc:AlternateContent>
  <xr:revisionPtr revIDLastSave="0" documentId="8_{66965260-9827-4B2D-87D2-F043C67024A8}" xr6:coauthVersionLast="36" xr6:coauthVersionMax="36" xr10:uidLastSave="{00000000-0000-0000-0000-000000000000}"/>
  <bookViews>
    <workbookView xWindow="0" yWindow="0" windowWidth="28800" windowHeight="13425" tabRatio="876" firstSheet="1" activeTab="1" xr2:uid="{00000000-000D-0000-FFFF-FFFF00000000}"/>
  </bookViews>
  <sheets>
    <sheet name="Vendor IDS" sheetId="23" state="hidden" r:id="rId1"/>
    <sheet name="Summary" sheetId="21" r:id="rId2"/>
    <sheet name="email-approvals" sheetId="25" r:id="rId3"/>
    <sheet name="Deadlines" sheetId="28" state="hidden" r:id="rId4"/>
    <sheet name="Transportation" sheetId="19" r:id="rId5"/>
    <sheet name="Mileage" sheetId="13" r:id="rId6"/>
    <sheet name="Donor" sheetId="1" r:id="rId7"/>
    <sheet name="Meals-Donor" sheetId="17" r:id="rId8"/>
    <sheet name="Office" sheetId="5" r:id="rId9"/>
    <sheet name="Out-of-town" sheetId="6" r:id="rId10"/>
    <sheet name="Professional Growth" sheetId="27" r:id="rId11"/>
    <sheet name="Min Ops" sheetId="8" r:id="rId12"/>
    <sheet name="Meals-Students" sheetId="15" r:id="rId13"/>
    <sheet name="Equipment" sheetId="10" r:id="rId14"/>
    <sheet name="2nd page" sheetId="9" r:id="rId15"/>
  </sheets>
  <definedNames>
    <definedName name="BatchNumber">Summary!$K$22</definedName>
    <definedName name="Capital_amt">Summary!$D$34</definedName>
    <definedName name="capitalcode">Summary!$H$34</definedName>
    <definedName name="Category">'2nd page'!$Q$3:$Q$13</definedName>
    <definedName name="City_Deadlines">Deadlines!$G$2:$J$21</definedName>
    <definedName name="current_time">Summary!$T$25</definedName>
    <definedName name="Date_Processed">Summary!$K$25</definedName>
    <definedName name="Date_RCVD">Summary!$B$12</definedName>
    <definedName name="dateofexp">Summary!$A$45</definedName>
    <definedName name="dateofexpense">Summary!$Q$26</definedName>
    <definedName name="deadlines">#REF!</definedName>
    <definedName name="dealine_time">Summary!$T$26</definedName>
    <definedName name="Description">Summary!$D$11</definedName>
    <definedName name="Donor_amt">Summary!$D$20</definedName>
    <definedName name="donorcode">Summary!$H$20</definedName>
    <definedName name="Employees">'Vendor IDS'!$H$2:$H$764</definedName>
    <definedName name="enablemacra">#REF!</definedName>
    <definedName name="Equip_amt">Summary!$D$32</definedName>
    <definedName name="equipcode">Summary!$H$32</definedName>
    <definedName name="expense_date">Summary!$Q$25</definedName>
    <definedName name="expensedate">Summary!$A$40</definedName>
    <definedName name="Fiscal_Start_Date">Summary!$A$7</definedName>
    <definedName name="FundCode">Summary!$D$9</definedName>
    <definedName name="FundNumber">'Vendor IDS'!$A$3:$G$1009</definedName>
    <definedName name="Growth_amt">Summary!$D$26</definedName>
    <definedName name="growthcode">Summary!$H$26</definedName>
    <definedName name="Invoice_number">Summary!$K$20</definedName>
    <definedName name="lookup_date">Summary!$Q$30</definedName>
    <definedName name="Ministry_amt">Summary!$D$28</definedName>
    <definedName name="ministrycode">Summary!$H$28</definedName>
    <definedName name="new_rate">Mileage!$L$9</definedName>
    <definedName name="new_rate_date">Mileage!$L$7</definedName>
    <definedName name="Office_amt">Summary!$D$22</definedName>
    <definedName name="officecode">Summary!$H$22</definedName>
    <definedName name="old_rate">Mileage!$K$9</definedName>
    <definedName name="pagecode">'2nd page'!$Q$3:$R$13</definedName>
    <definedName name="pcode">Summary!$B$10</definedName>
    <definedName name="personalcode">'Vendor IDS'!$L$2:$L$465</definedName>
    <definedName name="Plan_amt">Summary!$D$36</definedName>
    <definedName name="_xlnm.Print_Area" localSheetId="14">'2nd page'!$A$1:$N$55</definedName>
    <definedName name="_xlnm.Print_Area" localSheetId="6">Donor!$A$1:$N$59</definedName>
    <definedName name="_xlnm.Print_Area" localSheetId="13">Equipment!$A$1:$P$59</definedName>
    <definedName name="_xlnm.Print_Area" localSheetId="7">'Meals-Donor'!$A$1:$G$47</definedName>
    <definedName name="_xlnm.Print_Area" localSheetId="12">'Meals-Students'!$A$1:$G$47</definedName>
    <definedName name="_xlnm.Print_Area" localSheetId="5">Mileage!$A$1:$G$180</definedName>
    <definedName name="_xlnm.Print_Area" localSheetId="11">'Min Ops'!$A$1:$N$64</definedName>
    <definedName name="_xlnm.Print_Area" localSheetId="8">Office!$A$1:$N$58</definedName>
    <definedName name="_xlnm.Print_Area" localSheetId="9">'Out-of-town'!$A$1:$N$62</definedName>
    <definedName name="_xlnm.Print_Area" localSheetId="10">'Professional Growth'!$A$1:$N$58</definedName>
    <definedName name="_xlnm.Print_Area" localSheetId="1">Summary!$A$1:$M$46</definedName>
    <definedName name="_xlnm.Print_Area" localSheetId="4">Transportation!$A$1:$N$57</definedName>
    <definedName name="ProcessType">Summary!$AB$21:$AB$23</definedName>
    <definedName name="ProjectCode">Summary!$E$9</definedName>
    <definedName name="projects_ref">'Vendor IDS'!$F$2:$H$1058</definedName>
    <definedName name="Pymt_method">Summary!$W$15:$W$19</definedName>
    <definedName name="RegDeadline">Deadlines!$A$3:$C$18</definedName>
    <definedName name="second_amt">Summary!$D$30</definedName>
    <definedName name="secondcode">Summary!$H$30</definedName>
    <definedName name="submit_date">Summary!$D$13</definedName>
    <definedName name="SubmitDate">Summary!$P$24</definedName>
    <definedName name="Supervisor">'Vendor IDS'!$A$2:$C$1009</definedName>
    <definedName name="Supervisors">Deadlines!$F$3:$H$133</definedName>
    <definedName name="Today">Summary!$A$42</definedName>
    <definedName name="today_30">Summary!$Q$28</definedName>
    <definedName name="today_60">Summary!$Q$29</definedName>
    <definedName name="todayminus30">Summary!$A$43</definedName>
    <definedName name="todayminussixty">Summary!$A$44</definedName>
    <definedName name="todaysdate">Summary!$Q$27</definedName>
    <definedName name="Total_Reimb">Summary!$D$44</definedName>
    <definedName name="transcode">Summary!$H$18</definedName>
    <definedName name="transportation_amt">Summary!$D$18</definedName>
    <definedName name="Travel_amt">Summary!$D$24</definedName>
    <definedName name="travelcode">Summary!$H$24</definedName>
    <definedName name="vendor_address">'Vendor IDS'!$M$2:$P$318</definedName>
    <definedName name="Vendor_id">'Vendor IDS'!$M$1:$N$346</definedName>
    <definedName name="vendor2">'Vendor IDS'!$L$2:$M$465</definedName>
    <definedName name="Vendors">'Vendor IDS'!$M$2:$M$271</definedName>
    <definedName name="warning_date">Summary!$Q$37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33" i="23" l="1"/>
  <c r="F733" i="23"/>
  <c r="E733" i="23"/>
  <c r="B733" i="23" s="1"/>
  <c r="C733" i="23"/>
  <c r="C742" i="23" l="1"/>
  <c r="E742" i="23"/>
  <c r="B742" i="23"/>
  <c r="H742" i="23"/>
  <c r="F742" i="23"/>
  <c r="U35" i="21" l="1"/>
  <c r="B10" i="21"/>
  <c r="L261" i="23" l="1"/>
  <c r="C323" i="23"/>
  <c r="E323" i="23"/>
  <c r="B323" i="23" s="1"/>
  <c r="H323" i="23"/>
  <c r="F323" i="23"/>
  <c r="L59" i="23" l="1"/>
  <c r="C314" i="23" l="1"/>
  <c r="E314" i="23"/>
  <c r="B314" i="23" s="1"/>
  <c r="H314" i="23"/>
  <c r="F314" i="23"/>
  <c r="L162" i="23" l="1"/>
  <c r="C316" i="23"/>
  <c r="E316" i="23"/>
  <c r="B316" i="23" s="1"/>
  <c r="H316" i="23"/>
  <c r="F316" i="23"/>
  <c r="L294" i="23" l="1"/>
  <c r="L295" i="23"/>
  <c r="L296" i="23"/>
  <c r="L297" i="23"/>
  <c r="L298" i="23"/>
  <c r="L299" i="23"/>
  <c r="L300" i="23"/>
  <c r="L301" i="23"/>
  <c r="L302" i="23"/>
  <c r="L303" i="23"/>
  <c r="L304" i="23"/>
  <c r="L305" i="23"/>
  <c r="L306" i="23"/>
  <c r="L307" i="23"/>
  <c r="L308" i="23"/>
  <c r="L309" i="23"/>
  <c r="L310" i="23"/>
  <c r="L311" i="23"/>
  <c r="L312" i="23"/>
  <c r="L313" i="23"/>
  <c r="L314" i="23"/>
  <c r="L315" i="23"/>
  <c r="L316" i="23"/>
  <c r="L317" i="23"/>
  <c r="L318" i="23"/>
  <c r="L319" i="23"/>
  <c r="L320" i="23"/>
  <c r="L321" i="23"/>
  <c r="L322" i="23"/>
  <c r="L323" i="23"/>
  <c r="L324" i="23"/>
  <c r="L325" i="23"/>
  <c r="L326" i="23"/>
  <c r="L327" i="23"/>
  <c r="L328" i="23"/>
  <c r="L329" i="23"/>
  <c r="L330" i="23"/>
  <c r="L331" i="23"/>
  <c r="L332" i="23"/>
  <c r="L333" i="23"/>
  <c r="L334" i="23"/>
  <c r="L335" i="23"/>
  <c r="L336" i="23"/>
  <c r="L337" i="23"/>
  <c r="L338" i="23"/>
  <c r="L339" i="23"/>
  <c r="L340" i="23"/>
  <c r="L341" i="23"/>
  <c r="L342" i="23"/>
  <c r="L343" i="23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M22" i="19"/>
  <c r="M23" i="19"/>
  <c r="V23" i="19" s="1"/>
  <c r="M24" i="19"/>
  <c r="M25" i="19"/>
  <c r="V25" i="19" s="1"/>
  <c r="M26" i="19"/>
  <c r="O26" i="19" s="1"/>
  <c r="M27" i="19"/>
  <c r="O27" i="19" s="1"/>
  <c r="M28" i="19"/>
  <c r="O28" i="19" s="1"/>
  <c r="M29" i="19"/>
  <c r="V29" i="19" s="1"/>
  <c r="M30" i="19"/>
  <c r="V30" i="19" s="1"/>
  <c r="M31" i="19"/>
  <c r="V31" i="19" s="1"/>
  <c r="M32" i="19"/>
  <c r="V32" i="19" s="1"/>
  <c r="M33" i="19"/>
  <c r="O33" i="19" s="1"/>
  <c r="M34" i="19"/>
  <c r="M35" i="19"/>
  <c r="V35" i="19" s="1"/>
  <c r="M36" i="19"/>
  <c r="M37" i="19"/>
  <c r="V37" i="19" s="1"/>
  <c r="M21" i="19"/>
  <c r="O21" i="19" s="1"/>
  <c r="M38" i="19"/>
  <c r="O38" i="19" s="1"/>
  <c r="M39" i="19"/>
  <c r="O39" i="19" s="1"/>
  <c r="M40" i="19"/>
  <c r="O40" i="19" s="1"/>
  <c r="M41" i="19"/>
  <c r="O41" i="19" s="1"/>
  <c r="M42" i="19"/>
  <c r="V42" i="19" s="1"/>
  <c r="M43" i="19"/>
  <c r="O43" i="19" s="1"/>
  <c r="M44" i="19"/>
  <c r="V44" i="19" s="1"/>
  <c r="Q24" i="21"/>
  <c r="R24" i="21" s="1"/>
  <c r="L4" i="23"/>
  <c r="L156" i="23"/>
  <c r="L237" i="23"/>
  <c r="C270" i="23"/>
  <c r="E270" i="23"/>
  <c r="B270" i="23" s="1"/>
  <c r="H270" i="23"/>
  <c r="F270" i="23"/>
  <c r="L161" i="23"/>
  <c r="C259" i="23"/>
  <c r="E259" i="23"/>
  <c r="B259" i="23" s="1"/>
  <c r="H259" i="23"/>
  <c r="M17" i="8"/>
  <c r="V17" i="8" s="1"/>
  <c r="M18" i="8"/>
  <c r="V18" i="8" s="1"/>
  <c r="M19" i="8"/>
  <c r="V19" i="8" s="1"/>
  <c r="M20" i="8"/>
  <c r="V20" i="8" s="1"/>
  <c r="M21" i="8"/>
  <c r="V21" i="8" s="1"/>
  <c r="M22" i="8"/>
  <c r="V22" i="8" s="1"/>
  <c r="M23" i="8"/>
  <c r="V23" i="8" s="1"/>
  <c r="M24" i="8"/>
  <c r="V24" i="8" s="1"/>
  <c r="M25" i="8"/>
  <c r="V25" i="8" s="1"/>
  <c r="M26" i="8"/>
  <c r="V26" i="8" s="1"/>
  <c r="M27" i="8"/>
  <c r="V27" i="8" s="1"/>
  <c r="M28" i="8"/>
  <c r="V28" i="8" s="1"/>
  <c r="M29" i="8"/>
  <c r="V29" i="8" s="1"/>
  <c r="M30" i="8"/>
  <c r="V30" i="8" s="1"/>
  <c r="M31" i="8"/>
  <c r="V31" i="8" s="1"/>
  <c r="M32" i="8"/>
  <c r="O32" i="8" s="1"/>
  <c r="M33" i="8"/>
  <c r="V33" i="8" s="1"/>
  <c r="M34" i="8"/>
  <c r="V34" i="8" s="1"/>
  <c r="M35" i="8"/>
  <c r="V35" i="8" s="1"/>
  <c r="M36" i="8"/>
  <c r="O36" i="8" s="1"/>
  <c r="M37" i="8"/>
  <c r="V37" i="8" s="1"/>
  <c r="M38" i="8"/>
  <c r="V38" i="8" s="1"/>
  <c r="M39" i="8"/>
  <c r="V39" i="8" s="1"/>
  <c r="M40" i="8"/>
  <c r="O40" i="8" s="1"/>
  <c r="M41" i="8"/>
  <c r="V41" i="8" s="1"/>
  <c r="M42" i="8"/>
  <c r="V42" i="8" s="1"/>
  <c r="M43" i="8"/>
  <c r="V43" i="8" s="1"/>
  <c r="M44" i="8"/>
  <c r="V44" i="8" s="1"/>
  <c r="M45" i="8"/>
  <c r="V45" i="8" s="1"/>
  <c r="M46" i="8"/>
  <c r="O46" i="8" s="1"/>
  <c r="M47" i="8"/>
  <c r="V47" i="8" s="1"/>
  <c r="M48" i="8"/>
  <c r="V48" i="8" s="1"/>
  <c r="M49" i="8"/>
  <c r="V49" i="8" s="1"/>
  <c r="M50" i="8"/>
  <c r="V50" i="8" s="1"/>
  <c r="M51" i="8"/>
  <c r="V51" i="8" s="1"/>
  <c r="M52" i="8"/>
  <c r="V52" i="8" s="1"/>
  <c r="M53" i="8"/>
  <c r="V53" i="8" s="1"/>
  <c r="M54" i="8"/>
  <c r="V54" i="8" s="1"/>
  <c r="M55" i="8"/>
  <c r="V55" i="8" s="1"/>
  <c r="M56" i="8"/>
  <c r="V56" i="8" s="1"/>
  <c r="M57" i="8"/>
  <c r="V57" i="8" s="1"/>
  <c r="M58" i="8"/>
  <c r="V58" i="8" s="1"/>
  <c r="M59" i="8"/>
  <c r="V59" i="8" s="1"/>
  <c r="O12" i="21"/>
  <c r="G13" i="15"/>
  <c r="N13" i="15" s="1"/>
  <c r="G14" i="15"/>
  <c r="N14" i="15" s="1"/>
  <c r="G15" i="15"/>
  <c r="N15" i="15" s="1"/>
  <c r="G16" i="15"/>
  <c r="N16" i="15" s="1"/>
  <c r="G17" i="15"/>
  <c r="O17" i="15" s="1"/>
  <c r="G18" i="15"/>
  <c r="O18" i="15" s="1"/>
  <c r="G19" i="15"/>
  <c r="O19" i="15" s="1"/>
  <c r="G20" i="15"/>
  <c r="O20" i="15" s="1"/>
  <c r="G21" i="15"/>
  <c r="P21" i="15" s="1"/>
  <c r="G22" i="15"/>
  <c r="G23" i="15"/>
  <c r="P23" i="15" s="1"/>
  <c r="G24" i="15"/>
  <c r="P24" i="15" s="1"/>
  <c r="G25" i="15"/>
  <c r="N25" i="15" s="1"/>
  <c r="G26" i="15"/>
  <c r="N26" i="15" s="1"/>
  <c r="G27" i="15"/>
  <c r="N27" i="15" s="1"/>
  <c r="G28" i="15"/>
  <c r="N28" i="15" s="1"/>
  <c r="G29" i="15"/>
  <c r="N29" i="15" s="1"/>
  <c r="G30" i="15"/>
  <c r="P30" i="15" s="1"/>
  <c r="G31" i="15"/>
  <c r="O31" i="15" s="1"/>
  <c r="G32" i="15"/>
  <c r="G33" i="15"/>
  <c r="N33" i="15" s="1"/>
  <c r="G34" i="15"/>
  <c r="P34" i="15" s="1"/>
  <c r="G35" i="15"/>
  <c r="N35" i="15" s="1"/>
  <c r="G36" i="15"/>
  <c r="P36" i="15" s="1"/>
  <c r="G37" i="15"/>
  <c r="N37" i="15" s="1"/>
  <c r="G38" i="15"/>
  <c r="P38" i="15" s="1"/>
  <c r="G39" i="15"/>
  <c r="N39" i="15" s="1"/>
  <c r="G40" i="15"/>
  <c r="N40" i="15" s="1"/>
  <c r="G41" i="15"/>
  <c r="O41" i="15" s="1"/>
  <c r="G42" i="15"/>
  <c r="O42" i="15" s="1"/>
  <c r="G43" i="15"/>
  <c r="O43" i="15" s="1"/>
  <c r="M17" i="27"/>
  <c r="V17" i="27" s="1"/>
  <c r="M18" i="27"/>
  <c r="V18" i="27" s="1"/>
  <c r="M19" i="27"/>
  <c r="V19" i="27" s="1"/>
  <c r="M20" i="27"/>
  <c r="V20" i="27" s="1"/>
  <c r="M21" i="27"/>
  <c r="V21" i="27" s="1"/>
  <c r="M22" i="27"/>
  <c r="V22" i="27" s="1"/>
  <c r="M23" i="27"/>
  <c r="O23" i="27" s="1"/>
  <c r="M24" i="27"/>
  <c r="V24" i="27" s="1"/>
  <c r="M25" i="27"/>
  <c r="V25" i="27" s="1"/>
  <c r="M26" i="27"/>
  <c r="V26" i="27" s="1"/>
  <c r="M27" i="27"/>
  <c r="V27" i="27" s="1"/>
  <c r="M28" i="27"/>
  <c r="V28" i="27" s="1"/>
  <c r="M29" i="27"/>
  <c r="V29" i="27" s="1"/>
  <c r="M30" i="27"/>
  <c r="V30" i="27" s="1"/>
  <c r="M31" i="27"/>
  <c r="V31" i="27" s="1"/>
  <c r="M32" i="27"/>
  <c r="V32" i="27" s="1"/>
  <c r="M33" i="27"/>
  <c r="V33" i="27" s="1"/>
  <c r="M34" i="27"/>
  <c r="V34" i="27" s="1"/>
  <c r="M35" i="27"/>
  <c r="O35" i="27" s="1"/>
  <c r="M36" i="27"/>
  <c r="V36" i="27" s="1"/>
  <c r="M37" i="27"/>
  <c r="V37" i="27" s="1"/>
  <c r="M38" i="27"/>
  <c r="V38" i="27" s="1"/>
  <c r="M39" i="27"/>
  <c r="V39" i="27" s="1"/>
  <c r="M40" i="27"/>
  <c r="V40" i="27" s="1"/>
  <c r="M41" i="27"/>
  <c r="O41" i="27" s="1"/>
  <c r="M42" i="27"/>
  <c r="M43" i="27"/>
  <c r="V43" i="27" s="1"/>
  <c r="M44" i="27"/>
  <c r="V44" i="27" s="1"/>
  <c r="M45" i="27"/>
  <c r="V45" i="27" s="1"/>
  <c r="M46" i="27"/>
  <c r="V46" i="27" s="1"/>
  <c r="M47" i="27"/>
  <c r="V47" i="27" s="1"/>
  <c r="M48" i="27"/>
  <c r="V48" i="27" s="1"/>
  <c r="M49" i="27"/>
  <c r="V49" i="27" s="1"/>
  <c r="M50" i="27"/>
  <c r="V50" i="27" s="1"/>
  <c r="M51" i="27"/>
  <c r="V51" i="27" s="1"/>
  <c r="M52" i="27"/>
  <c r="V52" i="27" s="1"/>
  <c r="M53" i="27"/>
  <c r="V53" i="27" s="1"/>
  <c r="M54" i="27"/>
  <c r="O54" i="27" s="1"/>
  <c r="M17" i="6"/>
  <c r="V17" i="6" s="1"/>
  <c r="M18" i="6"/>
  <c r="V18" i="6" s="1"/>
  <c r="M19" i="6"/>
  <c r="V19" i="6" s="1"/>
  <c r="M20" i="6"/>
  <c r="O20" i="6" s="1"/>
  <c r="M21" i="6"/>
  <c r="V21" i="6" s="1"/>
  <c r="M22" i="6"/>
  <c r="V22" i="6" s="1"/>
  <c r="M23" i="6"/>
  <c r="M24" i="6"/>
  <c r="V24" i="6" s="1"/>
  <c r="M25" i="6"/>
  <c r="V25" i="6" s="1"/>
  <c r="M26" i="6"/>
  <c r="V26" i="6" s="1"/>
  <c r="M27" i="6"/>
  <c r="O27" i="6" s="1"/>
  <c r="M28" i="6"/>
  <c r="V28" i="6" s="1"/>
  <c r="M29" i="6"/>
  <c r="V29" i="6" s="1"/>
  <c r="M30" i="6"/>
  <c r="V30" i="6" s="1"/>
  <c r="M31" i="6"/>
  <c r="V31" i="6" s="1"/>
  <c r="M32" i="6"/>
  <c r="V32" i="6" s="1"/>
  <c r="M33" i="6"/>
  <c r="O33" i="6" s="1"/>
  <c r="M34" i="6"/>
  <c r="V34" i="6" s="1"/>
  <c r="M35" i="6"/>
  <c r="V35" i="6" s="1"/>
  <c r="M36" i="6"/>
  <c r="V36" i="6" s="1"/>
  <c r="M37" i="6"/>
  <c r="V37" i="6" s="1"/>
  <c r="M38" i="6"/>
  <c r="V38" i="6" s="1"/>
  <c r="M39" i="6"/>
  <c r="V39" i="6" s="1"/>
  <c r="M40" i="6"/>
  <c r="V40" i="6" s="1"/>
  <c r="M41" i="6"/>
  <c r="V41" i="6" s="1"/>
  <c r="M42" i="6"/>
  <c r="V42" i="6" s="1"/>
  <c r="M43" i="6"/>
  <c r="V43" i="6" s="1"/>
  <c r="M44" i="6"/>
  <c r="V44" i="6" s="1"/>
  <c r="M45" i="6"/>
  <c r="V45" i="6" s="1"/>
  <c r="M46" i="6"/>
  <c r="V46" i="6" s="1"/>
  <c r="M47" i="6"/>
  <c r="V47" i="6" s="1"/>
  <c r="M48" i="6"/>
  <c r="O48" i="6" s="1"/>
  <c r="M49" i="6"/>
  <c r="V49" i="6" s="1"/>
  <c r="M50" i="6"/>
  <c r="V50" i="6" s="1"/>
  <c r="M51" i="6"/>
  <c r="V51" i="6" s="1"/>
  <c r="M52" i="6"/>
  <c r="V52" i="6" s="1"/>
  <c r="M53" i="6"/>
  <c r="V53" i="6" s="1"/>
  <c r="M54" i="6"/>
  <c r="O54" i="6" s="1"/>
  <c r="M55" i="6"/>
  <c r="M56" i="6"/>
  <c r="V56" i="6" s="1"/>
  <c r="M57" i="6"/>
  <c r="V57" i="6" s="1"/>
  <c r="M16" i="5"/>
  <c r="V16" i="5" s="1"/>
  <c r="M17" i="5"/>
  <c r="V17" i="5" s="1"/>
  <c r="M18" i="5"/>
  <c r="V18" i="5" s="1"/>
  <c r="M19" i="5"/>
  <c r="V19" i="5" s="1"/>
  <c r="M20" i="5"/>
  <c r="V20" i="5" s="1"/>
  <c r="M21" i="5"/>
  <c r="V21" i="5" s="1"/>
  <c r="M22" i="5"/>
  <c r="V22" i="5" s="1"/>
  <c r="M23" i="5"/>
  <c r="V23" i="5" s="1"/>
  <c r="M24" i="5"/>
  <c r="V24" i="5" s="1"/>
  <c r="M25" i="5"/>
  <c r="V25" i="5" s="1"/>
  <c r="M26" i="5"/>
  <c r="V26" i="5" s="1"/>
  <c r="M27" i="5"/>
  <c r="V27" i="5" s="1"/>
  <c r="M28" i="5"/>
  <c r="V28" i="5" s="1"/>
  <c r="M29" i="5"/>
  <c r="V29" i="5" s="1"/>
  <c r="M30" i="5"/>
  <c r="V30" i="5" s="1"/>
  <c r="M31" i="5"/>
  <c r="V31" i="5" s="1"/>
  <c r="M32" i="5"/>
  <c r="V32" i="5" s="1"/>
  <c r="M33" i="5"/>
  <c r="V33" i="5" s="1"/>
  <c r="M34" i="5"/>
  <c r="V34" i="5" s="1"/>
  <c r="M35" i="5"/>
  <c r="V35" i="5" s="1"/>
  <c r="M36" i="5"/>
  <c r="V36" i="5" s="1"/>
  <c r="M37" i="5"/>
  <c r="V37" i="5" s="1"/>
  <c r="M38" i="5"/>
  <c r="V38" i="5" s="1"/>
  <c r="M39" i="5"/>
  <c r="V39" i="5" s="1"/>
  <c r="M40" i="5"/>
  <c r="V40" i="5" s="1"/>
  <c r="M41" i="5"/>
  <c r="V41" i="5" s="1"/>
  <c r="M42" i="5"/>
  <c r="V42" i="5" s="1"/>
  <c r="M43" i="5"/>
  <c r="V43" i="5" s="1"/>
  <c r="M44" i="5"/>
  <c r="V44" i="5" s="1"/>
  <c r="M45" i="5"/>
  <c r="V45" i="5" s="1"/>
  <c r="M46" i="5"/>
  <c r="V46" i="5" s="1"/>
  <c r="M47" i="5"/>
  <c r="V47" i="5" s="1"/>
  <c r="M48" i="5"/>
  <c r="V48" i="5" s="1"/>
  <c r="M49" i="5"/>
  <c r="V49" i="5" s="1"/>
  <c r="M50" i="5"/>
  <c r="V50" i="5" s="1"/>
  <c r="M51" i="5"/>
  <c r="V51" i="5" s="1"/>
  <c r="M52" i="5"/>
  <c r="V52" i="5" s="1"/>
  <c r="M53" i="5"/>
  <c r="V53" i="5" s="1"/>
  <c r="O18" i="10"/>
  <c r="AG18" i="10" s="1"/>
  <c r="AL18" i="10" s="1"/>
  <c r="O19" i="10"/>
  <c r="W19" i="10" s="1"/>
  <c r="O20" i="10"/>
  <c r="AG20" i="10" s="1"/>
  <c r="AL20" i="10" s="1"/>
  <c r="O21" i="10"/>
  <c r="AG21" i="10" s="1"/>
  <c r="AL21" i="10" s="1"/>
  <c r="O22" i="10"/>
  <c r="AG22" i="10" s="1"/>
  <c r="AL22" i="10" s="1"/>
  <c r="O23" i="10"/>
  <c r="AF23" i="10" s="1"/>
  <c r="AK23" i="10" s="1"/>
  <c r="O24" i="10"/>
  <c r="AG24" i="10" s="1"/>
  <c r="AL24" i="10" s="1"/>
  <c r="O25" i="10"/>
  <c r="AG25" i="10" s="1"/>
  <c r="AL25" i="10" s="1"/>
  <c r="O26" i="10"/>
  <c r="AG26" i="10" s="1"/>
  <c r="AL26" i="10" s="1"/>
  <c r="O27" i="10"/>
  <c r="AF27" i="10" s="1"/>
  <c r="AK27" i="10" s="1"/>
  <c r="O28" i="10"/>
  <c r="AG28" i="10" s="1"/>
  <c r="AL28" i="10" s="1"/>
  <c r="O29" i="10"/>
  <c r="AF29" i="10" s="1"/>
  <c r="AK29" i="10" s="1"/>
  <c r="O30" i="10"/>
  <c r="AG30" i="10" s="1"/>
  <c r="AL30" i="10" s="1"/>
  <c r="O31" i="10"/>
  <c r="AF31" i="10" s="1"/>
  <c r="AK31" i="10" s="1"/>
  <c r="O32" i="10"/>
  <c r="AG32" i="10" s="1"/>
  <c r="AL32" i="10" s="1"/>
  <c r="O33" i="10"/>
  <c r="AC33" i="10" s="1"/>
  <c r="AH33" i="10" s="1"/>
  <c r="O34" i="10"/>
  <c r="AG34" i="10" s="1"/>
  <c r="AL34" i="10" s="1"/>
  <c r="O35" i="10"/>
  <c r="O36" i="10"/>
  <c r="AG36" i="10" s="1"/>
  <c r="AL36" i="10" s="1"/>
  <c r="O37" i="10"/>
  <c r="W37" i="10" s="1"/>
  <c r="O38" i="10"/>
  <c r="AG38" i="10" s="1"/>
  <c r="AL38" i="10" s="1"/>
  <c r="O39" i="10"/>
  <c r="AG39" i="10" s="1"/>
  <c r="AL39" i="10" s="1"/>
  <c r="O40" i="10"/>
  <c r="AG40" i="10" s="1"/>
  <c r="AL40" i="10" s="1"/>
  <c r="O41" i="10"/>
  <c r="AC41" i="10" s="1"/>
  <c r="AH41" i="10" s="1"/>
  <c r="O42" i="10"/>
  <c r="AG42" i="10" s="1"/>
  <c r="AL42" i="10" s="1"/>
  <c r="O43" i="10"/>
  <c r="AG43" i="10" s="1"/>
  <c r="AL43" i="10" s="1"/>
  <c r="O44" i="10"/>
  <c r="AG44" i="10" s="1"/>
  <c r="AL44" i="10" s="1"/>
  <c r="O45" i="10"/>
  <c r="AG45" i="10" s="1"/>
  <c r="AL45" i="10" s="1"/>
  <c r="O46" i="10"/>
  <c r="AG46" i="10" s="1"/>
  <c r="AL46" i="10" s="1"/>
  <c r="O47" i="10"/>
  <c r="AG47" i="10" s="1"/>
  <c r="AL47" i="10" s="1"/>
  <c r="O48" i="10"/>
  <c r="AG48" i="10" s="1"/>
  <c r="AL48" i="10" s="1"/>
  <c r="O49" i="10"/>
  <c r="AC49" i="10" s="1"/>
  <c r="AH49" i="10" s="1"/>
  <c r="O50" i="10"/>
  <c r="AG50" i="10" s="1"/>
  <c r="AL50" i="10" s="1"/>
  <c r="O51" i="10"/>
  <c r="AD51" i="10" s="1"/>
  <c r="AI51" i="10" s="1"/>
  <c r="M21" i="1"/>
  <c r="V21" i="1" s="1"/>
  <c r="M22" i="1"/>
  <c r="V22" i="1" s="1"/>
  <c r="M23" i="1"/>
  <c r="V23" i="1" s="1"/>
  <c r="M24" i="1"/>
  <c r="V24" i="1" s="1"/>
  <c r="M25" i="1"/>
  <c r="V25" i="1" s="1"/>
  <c r="M26" i="1"/>
  <c r="M27" i="1"/>
  <c r="V27" i="1" s="1"/>
  <c r="M28" i="1"/>
  <c r="V28" i="1" s="1"/>
  <c r="M29" i="1"/>
  <c r="V29" i="1" s="1"/>
  <c r="M30" i="1"/>
  <c r="V30" i="1" s="1"/>
  <c r="M31" i="1"/>
  <c r="V31" i="1" s="1"/>
  <c r="M32" i="1"/>
  <c r="M33" i="1"/>
  <c r="V33" i="1" s="1"/>
  <c r="M34" i="1"/>
  <c r="V34" i="1" s="1"/>
  <c r="M35" i="1"/>
  <c r="V35" i="1" s="1"/>
  <c r="M36" i="1"/>
  <c r="V36" i="1" s="1"/>
  <c r="M37" i="1"/>
  <c r="V37" i="1" s="1"/>
  <c r="M38" i="1"/>
  <c r="M39" i="1"/>
  <c r="V39" i="1" s="1"/>
  <c r="M40" i="1"/>
  <c r="V40" i="1" s="1"/>
  <c r="M41" i="1"/>
  <c r="V41" i="1" s="1"/>
  <c r="M42" i="1"/>
  <c r="V42" i="1" s="1"/>
  <c r="M43" i="1"/>
  <c r="V43" i="1" s="1"/>
  <c r="M44" i="1"/>
  <c r="V44" i="1" s="1"/>
  <c r="M45" i="1"/>
  <c r="V45" i="1" s="1"/>
  <c r="M46" i="1"/>
  <c r="V46" i="1" s="1"/>
  <c r="M47" i="1"/>
  <c r="V47" i="1" s="1"/>
  <c r="M48" i="1"/>
  <c r="V48" i="1" s="1"/>
  <c r="M49" i="1"/>
  <c r="V49" i="1" s="1"/>
  <c r="M50" i="1"/>
  <c r="V50" i="1" s="1"/>
  <c r="M51" i="1"/>
  <c r="V51" i="1" s="1"/>
  <c r="M52" i="1"/>
  <c r="V52" i="1" s="1"/>
  <c r="M53" i="1"/>
  <c r="V53" i="1" s="1"/>
  <c r="M54" i="1"/>
  <c r="V54" i="1" s="1"/>
  <c r="G13" i="17"/>
  <c r="P13" i="17" s="1"/>
  <c r="G14" i="17"/>
  <c r="P14" i="17" s="1"/>
  <c r="G15" i="17"/>
  <c r="N15" i="17" s="1"/>
  <c r="G16" i="17"/>
  <c r="N16" i="17" s="1"/>
  <c r="G17" i="17"/>
  <c r="N17" i="17" s="1"/>
  <c r="G18" i="17"/>
  <c r="N18" i="17" s="1"/>
  <c r="G19" i="17"/>
  <c r="P19" i="17" s="1"/>
  <c r="G20" i="17"/>
  <c r="O20" i="17" s="1"/>
  <c r="G21" i="17"/>
  <c r="P21" i="17" s="1"/>
  <c r="G22" i="17"/>
  <c r="N22" i="17" s="1"/>
  <c r="G23" i="17"/>
  <c r="N23" i="17" s="1"/>
  <c r="G24" i="17"/>
  <c r="N24" i="17" s="1"/>
  <c r="G25" i="17"/>
  <c r="P25" i="17" s="1"/>
  <c r="G26" i="17"/>
  <c r="P26" i="17" s="1"/>
  <c r="G27" i="17"/>
  <c r="N27" i="17" s="1"/>
  <c r="G28" i="17"/>
  <c r="P28" i="17" s="1"/>
  <c r="G29" i="17"/>
  <c r="N29" i="17" s="1"/>
  <c r="G30" i="17"/>
  <c r="N30" i="17" s="1"/>
  <c r="G31" i="17"/>
  <c r="O31" i="17" s="1"/>
  <c r="G32" i="17"/>
  <c r="P32" i="17" s="1"/>
  <c r="G33" i="17"/>
  <c r="N33" i="17" s="1"/>
  <c r="G34" i="17"/>
  <c r="N34" i="17" s="1"/>
  <c r="G35" i="17"/>
  <c r="N35" i="17" s="1"/>
  <c r="G36" i="17"/>
  <c r="N36" i="17" s="1"/>
  <c r="G37" i="17"/>
  <c r="O37" i="17" s="1"/>
  <c r="G38" i="17"/>
  <c r="O38" i="17" s="1"/>
  <c r="G39" i="17"/>
  <c r="N39" i="17" s="1"/>
  <c r="G40" i="17"/>
  <c r="N40" i="17" s="1"/>
  <c r="G41" i="17"/>
  <c r="N41" i="17" s="1"/>
  <c r="G42" i="17"/>
  <c r="O42" i="17" s="1"/>
  <c r="G43" i="17"/>
  <c r="O43" i="17" s="1"/>
  <c r="M17" i="19"/>
  <c r="V17" i="19" s="1"/>
  <c r="M18" i="19"/>
  <c r="V18" i="19" s="1"/>
  <c r="M19" i="19"/>
  <c r="V19" i="19" s="1"/>
  <c r="M20" i="19"/>
  <c r="V20" i="19" s="1"/>
  <c r="M45" i="19"/>
  <c r="V45" i="19" s="1"/>
  <c r="M46" i="19"/>
  <c r="V46" i="19" s="1"/>
  <c r="M47" i="19"/>
  <c r="V47" i="19" s="1"/>
  <c r="M48" i="19"/>
  <c r="V48" i="19" s="1"/>
  <c r="M49" i="19"/>
  <c r="O49" i="19" s="1"/>
  <c r="M50" i="19"/>
  <c r="V50" i="19" s="1"/>
  <c r="M51" i="19"/>
  <c r="V51" i="19" s="1"/>
  <c r="M52" i="19"/>
  <c r="V52" i="19" s="1"/>
  <c r="F12" i="13"/>
  <c r="K12" i="13" s="1"/>
  <c r="F13" i="13"/>
  <c r="K13" i="13" s="1"/>
  <c r="F14" i="13"/>
  <c r="K14" i="13" s="1"/>
  <c r="F15" i="13"/>
  <c r="K15" i="13" s="1"/>
  <c r="F16" i="13"/>
  <c r="K16" i="13" s="1"/>
  <c r="F17" i="13"/>
  <c r="K17" i="13" s="1"/>
  <c r="F18" i="13"/>
  <c r="K18" i="13" s="1"/>
  <c r="F19" i="13"/>
  <c r="K19" i="13" s="1"/>
  <c r="F20" i="13"/>
  <c r="K20" i="13" s="1"/>
  <c r="F21" i="13"/>
  <c r="K21" i="13" s="1"/>
  <c r="F22" i="13"/>
  <c r="K22" i="13" s="1"/>
  <c r="F23" i="13"/>
  <c r="K23" i="13" s="1"/>
  <c r="F24" i="13"/>
  <c r="K24" i="13" s="1"/>
  <c r="F25" i="13"/>
  <c r="K25" i="13" s="1"/>
  <c r="F26" i="13"/>
  <c r="K26" i="13" s="1"/>
  <c r="F27" i="13"/>
  <c r="K27" i="13" s="1"/>
  <c r="F28" i="13"/>
  <c r="K28" i="13" s="1"/>
  <c r="F29" i="13"/>
  <c r="K29" i="13" s="1"/>
  <c r="F30" i="13"/>
  <c r="K30" i="13" s="1"/>
  <c r="F31" i="13"/>
  <c r="K31" i="13" s="1"/>
  <c r="F32" i="13"/>
  <c r="K32" i="13" s="1"/>
  <c r="F33" i="13"/>
  <c r="K33" i="13" s="1"/>
  <c r="F34" i="13"/>
  <c r="K34" i="13" s="1"/>
  <c r="F35" i="13"/>
  <c r="K35" i="13" s="1"/>
  <c r="F36" i="13"/>
  <c r="K36" i="13" s="1"/>
  <c r="F37" i="13"/>
  <c r="K37" i="13" s="1"/>
  <c r="F38" i="13"/>
  <c r="K38" i="13" s="1"/>
  <c r="F39" i="13"/>
  <c r="K39" i="13" s="1"/>
  <c r="F40" i="13"/>
  <c r="K40" i="13" s="1"/>
  <c r="F41" i="13"/>
  <c r="K41" i="13" s="1"/>
  <c r="F42" i="13"/>
  <c r="K42" i="13" s="1"/>
  <c r="F43" i="13"/>
  <c r="K43" i="13" s="1"/>
  <c r="F44" i="13"/>
  <c r="K44" i="13" s="1"/>
  <c r="F45" i="13"/>
  <c r="K45" i="13" s="1"/>
  <c r="F46" i="13"/>
  <c r="K46" i="13" s="1"/>
  <c r="F47" i="13"/>
  <c r="K47" i="13" s="1"/>
  <c r="F48" i="13"/>
  <c r="K48" i="13" s="1"/>
  <c r="F49" i="13"/>
  <c r="K49" i="13" s="1"/>
  <c r="F50" i="13"/>
  <c r="K50" i="13" s="1"/>
  <c r="F51" i="13"/>
  <c r="K51" i="13" s="1"/>
  <c r="F52" i="13"/>
  <c r="K52" i="13" s="1"/>
  <c r="F53" i="13"/>
  <c r="K53" i="13" s="1"/>
  <c r="F54" i="13"/>
  <c r="K54" i="13" s="1"/>
  <c r="F55" i="13"/>
  <c r="K55" i="13" s="1"/>
  <c r="F56" i="13"/>
  <c r="K56" i="13" s="1"/>
  <c r="F57" i="13"/>
  <c r="K57" i="13" s="1"/>
  <c r="F72" i="13"/>
  <c r="K72" i="13" s="1"/>
  <c r="F73" i="13"/>
  <c r="K73" i="13" s="1"/>
  <c r="F74" i="13"/>
  <c r="K74" i="13" s="1"/>
  <c r="F75" i="13"/>
  <c r="K75" i="13" s="1"/>
  <c r="F76" i="13"/>
  <c r="K76" i="13" s="1"/>
  <c r="F77" i="13"/>
  <c r="K77" i="13" s="1"/>
  <c r="F78" i="13"/>
  <c r="K78" i="13" s="1"/>
  <c r="F79" i="13"/>
  <c r="K79" i="13" s="1"/>
  <c r="F80" i="13"/>
  <c r="K80" i="13" s="1"/>
  <c r="F81" i="13"/>
  <c r="K81" i="13" s="1"/>
  <c r="F82" i="13"/>
  <c r="K82" i="13" s="1"/>
  <c r="F83" i="13"/>
  <c r="K83" i="13" s="1"/>
  <c r="F84" i="13"/>
  <c r="K84" i="13" s="1"/>
  <c r="F85" i="13"/>
  <c r="K85" i="13" s="1"/>
  <c r="F86" i="13"/>
  <c r="K86" i="13" s="1"/>
  <c r="F87" i="13"/>
  <c r="K87" i="13" s="1"/>
  <c r="F88" i="13"/>
  <c r="K88" i="13" s="1"/>
  <c r="F89" i="13"/>
  <c r="K89" i="13" s="1"/>
  <c r="F90" i="13"/>
  <c r="K90" i="13" s="1"/>
  <c r="F91" i="13"/>
  <c r="K91" i="13" s="1"/>
  <c r="F92" i="13"/>
  <c r="K92" i="13" s="1"/>
  <c r="F93" i="13"/>
  <c r="K93" i="13" s="1"/>
  <c r="F94" i="13"/>
  <c r="K94" i="13" s="1"/>
  <c r="F95" i="13"/>
  <c r="K95" i="13" s="1"/>
  <c r="F96" i="13"/>
  <c r="K96" i="13" s="1"/>
  <c r="F97" i="13"/>
  <c r="K97" i="13" s="1"/>
  <c r="F98" i="13"/>
  <c r="K98" i="13" s="1"/>
  <c r="F99" i="13"/>
  <c r="K99" i="13" s="1"/>
  <c r="F100" i="13"/>
  <c r="K100" i="13" s="1"/>
  <c r="F101" i="13"/>
  <c r="K101" i="13" s="1"/>
  <c r="F102" i="13"/>
  <c r="K102" i="13" s="1"/>
  <c r="F103" i="13"/>
  <c r="K103" i="13" s="1"/>
  <c r="F104" i="13"/>
  <c r="K104" i="13" s="1"/>
  <c r="F105" i="13"/>
  <c r="K105" i="13" s="1"/>
  <c r="F106" i="13"/>
  <c r="K106" i="13" s="1"/>
  <c r="F107" i="13"/>
  <c r="K107" i="13" s="1"/>
  <c r="F108" i="13"/>
  <c r="K108" i="13" s="1"/>
  <c r="F109" i="13"/>
  <c r="K109" i="13" s="1"/>
  <c r="F110" i="13"/>
  <c r="K110" i="13" s="1"/>
  <c r="F111" i="13"/>
  <c r="K111" i="13" s="1"/>
  <c r="F112" i="13"/>
  <c r="K112" i="13" s="1"/>
  <c r="F113" i="13"/>
  <c r="K113" i="13" s="1"/>
  <c r="F114" i="13"/>
  <c r="K114" i="13" s="1"/>
  <c r="F115" i="13"/>
  <c r="K115" i="13" s="1"/>
  <c r="F116" i="13"/>
  <c r="K116" i="13" s="1"/>
  <c r="F117" i="13"/>
  <c r="K117" i="13" s="1"/>
  <c r="F132" i="13"/>
  <c r="K132" i="13" s="1"/>
  <c r="F133" i="13"/>
  <c r="K133" i="13" s="1"/>
  <c r="F134" i="13"/>
  <c r="K134" i="13" s="1"/>
  <c r="F135" i="13"/>
  <c r="K135" i="13" s="1"/>
  <c r="F136" i="13"/>
  <c r="K136" i="13" s="1"/>
  <c r="F137" i="13"/>
  <c r="K137" i="13" s="1"/>
  <c r="F138" i="13"/>
  <c r="K138" i="13" s="1"/>
  <c r="F139" i="13"/>
  <c r="K139" i="13" s="1"/>
  <c r="F140" i="13"/>
  <c r="K140" i="13" s="1"/>
  <c r="F141" i="13"/>
  <c r="K141" i="13" s="1"/>
  <c r="F142" i="13"/>
  <c r="K142" i="13" s="1"/>
  <c r="F143" i="13"/>
  <c r="K143" i="13" s="1"/>
  <c r="F144" i="13"/>
  <c r="K144" i="13" s="1"/>
  <c r="F145" i="13"/>
  <c r="K145" i="13" s="1"/>
  <c r="F146" i="13"/>
  <c r="K146" i="13" s="1"/>
  <c r="F147" i="13"/>
  <c r="K147" i="13" s="1"/>
  <c r="F148" i="13"/>
  <c r="K148" i="13" s="1"/>
  <c r="F149" i="13"/>
  <c r="K149" i="13" s="1"/>
  <c r="F150" i="13"/>
  <c r="K150" i="13" s="1"/>
  <c r="F151" i="13"/>
  <c r="K151" i="13" s="1"/>
  <c r="F152" i="13"/>
  <c r="K152" i="13" s="1"/>
  <c r="F153" i="13"/>
  <c r="K153" i="13" s="1"/>
  <c r="F154" i="13"/>
  <c r="K154" i="13" s="1"/>
  <c r="F155" i="13"/>
  <c r="K155" i="13" s="1"/>
  <c r="F156" i="13"/>
  <c r="K156" i="13" s="1"/>
  <c r="F157" i="13"/>
  <c r="K157" i="13" s="1"/>
  <c r="F158" i="13"/>
  <c r="K158" i="13" s="1"/>
  <c r="F159" i="13"/>
  <c r="K159" i="13" s="1"/>
  <c r="F160" i="13"/>
  <c r="K160" i="13" s="1"/>
  <c r="F161" i="13"/>
  <c r="K161" i="13" s="1"/>
  <c r="F162" i="13"/>
  <c r="K162" i="13" s="1"/>
  <c r="F163" i="13"/>
  <c r="K163" i="13" s="1"/>
  <c r="F164" i="13"/>
  <c r="K164" i="13" s="1"/>
  <c r="F165" i="13"/>
  <c r="K165" i="13" s="1"/>
  <c r="F166" i="13"/>
  <c r="K166" i="13" s="1"/>
  <c r="F167" i="13"/>
  <c r="K167" i="13" s="1"/>
  <c r="F168" i="13"/>
  <c r="K168" i="13" s="1"/>
  <c r="F169" i="13"/>
  <c r="K169" i="13" s="1"/>
  <c r="F170" i="13"/>
  <c r="K170" i="13" s="1"/>
  <c r="F171" i="13"/>
  <c r="K171" i="13" s="1"/>
  <c r="F172" i="13"/>
  <c r="K172" i="13" s="1"/>
  <c r="F173" i="13"/>
  <c r="K173" i="13" s="1"/>
  <c r="F174" i="13"/>
  <c r="K174" i="13" s="1"/>
  <c r="F175" i="13"/>
  <c r="K175" i="13" s="1"/>
  <c r="F176" i="13"/>
  <c r="K176" i="13" s="1"/>
  <c r="F177" i="13"/>
  <c r="K177" i="13" s="1"/>
  <c r="AH28" i="8"/>
  <c r="AI28" i="8"/>
  <c r="AJ28" i="8"/>
  <c r="AK28" i="8"/>
  <c r="AL28" i="8"/>
  <c r="AD28" i="8"/>
  <c r="AE28" i="8"/>
  <c r="AF28" i="8"/>
  <c r="AG28" i="8"/>
  <c r="AA28" i="8"/>
  <c r="AB28" i="8"/>
  <c r="AC28" i="8"/>
  <c r="Y28" i="8"/>
  <c r="X28" i="8"/>
  <c r="AH29" i="8"/>
  <c r="AI29" i="8"/>
  <c r="AJ29" i="8"/>
  <c r="AK29" i="8"/>
  <c r="AL29" i="8"/>
  <c r="AD29" i="8"/>
  <c r="AE29" i="8"/>
  <c r="AF29" i="8"/>
  <c r="AG29" i="8"/>
  <c r="AA29" i="8"/>
  <c r="AB29" i="8"/>
  <c r="AC29" i="8"/>
  <c r="Y29" i="8"/>
  <c r="X29" i="8"/>
  <c r="AH30" i="8"/>
  <c r="AI30" i="8"/>
  <c r="AJ30" i="8"/>
  <c r="AK30" i="8"/>
  <c r="AL30" i="8"/>
  <c r="AD30" i="8"/>
  <c r="AE30" i="8"/>
  <c r="AF30" i="8"/>
  <c r="AG30" i="8"/>
  <c r="AA30" i="8"/>
  <c r="AB30" i="8"/>
  <c r="AC30" i="8"/>
  <c r="Y30" i="8"/>
  <c r="X30" i="8"/>
  <c r="AH31" i="8"/>
  <c r="AI31" i="8"/>
  <c r="AJ31" i="8"/>
  <c r="AK31" i="8"/>
  <c r="AL31" i="8"/>
  <c r="AD31" i="8"/>
  <c r="AE31" i="8"/>
  <c r="AF31" i="8"/>
  <c r="AG31" i="8"/>
  <c r="AA31" i="8"/>
  <c r="AB31" i="8"/>
  <c r="AC31" i="8"/>
  <c r="Y31" i="8"/>
  <c r="X31" i="8"/>
  <c r="AH32" i="8"/>
  <c r="AI32" i="8"/>
  <c r="AJ32" i="8"/>
  <c r="AK32" i="8"/>
  <c r="AL32" i="8"/>
  <c r="AD32" i="8"/>
  <c r="AE32" i="8"/>
  <c r="AF32" i="8"/>
  <c r="AG32" i="8"/>
  <c r="AA32" i="8"/>
  <c r="AB32" i="8"/>
  <c r="AC32" i="8"/>
  <c r="Y32" i="8"/>
  <c r="X32" i="8"/>
  <c r="AH33" i="8"/>
  <c r="AI33" i="8"/>
  <c r="AJ33" i="8"/>
  <c r="AK33" i="8"/>
  <c r="AL33" i="8"/>
  <c r="AD33" i="8"/>
  <c r="AE33" i="8"/>
  <c r="AF33" i="8"/>
  <c r="AG33" i="8"/>
  <c r="AA33" i="8"/>
  <c r="AB33" i="8"/>
  <c r="AC33" i="8"/>
  <c r="Y33" i="8"/>
  <c r="X33" i="8"/>
  <c r="AH34" i="8"/>
  <c r="AI34" i="8"/>
  <c r="AJ34" i="8"/>
  <c r="AK34" i="8"/>
  <c r="AL34" i="8"/>
  <c r="AD34" i="8"/>
  <c r="AE34" i="8"/>
  <c r="AF34" i="8"/>
  <c r="AG34" i="8"/>
  <c r="AA34" i="8"/>
  <c r="AB34" i="8"/>
  <c r="AC34" i="8"/>
  <c r="Y34" i="8"/>
  <c r="X34" i="8"/>
  <c r="AH35" i="8"/>
  <c r="AI35" i="8"/>
  <c r="AJ35" i="8"/>
  <c r="AK35" i="8"/>
  <c r="AL35" i="8"/>
  <c r="AD35" i="8"/>
  <c r="AE35" i="8"/>
  <c r="AF35" i="8"/>
  <c r="AG35" i="8"/>
  <c r="AA35" i="8"/>
  <c r="AB35" i="8"/>
  <c r="AC35" i="8"/>
  <c r="Y35" i="8"/>
  <c r="X35" i="8"/>
  <c r="AH36" i="8"/>
  <c r="AI36" i="8"/>
  <c r="AJ36" i="8"/>
  <c r="AK36" i="8"/>
  <c r="AL36" i="8"/>
  <c r="AD36" i="8"/>
  <c r="AE36" i="8"/>
  <c r="AF36" i="8"/>
  <c r="AG36" i="8"/>
  <c r="AA36" i="8"/>
  <c r="AB36" i="8"/>
  <c r="AC36" i="8"/>
  <c r="Y36" i="8"/>
  <c r="X36" i="8"/>
  <c r="AH37" i="8"/>
  <c r="AI37" i="8"/>
  <c r="AJ37" i="8"/>
  <c r="AK37" i="8"/>
  <c r="AL37" i="8"/>
  <c r="AD37" i="8"/>
  <c r="AE37" i="8"/>
  <c r="AF37" i="8"/>
  <c r="AG37" i="8"/>
  <c r="AA37" i="8"/>
  <c r="AB37" i="8"/>
  <c r="AC37" i="8"/>
  <c r="Y37" i="8"/>
  <c r="X37" i="8"/>
  <c r="AH38" i="8"/>
  <c r="AI38" i="8"/>
  <c r="AJ38" i="8"/>
  <c r="AK38" i="8"/>
  <c r="AL38" i="8"/>
  <c r="AD38" i="8"/>
  <c r="AE38" i="8"/>
  <c r="AF38" i="8"/>
  <c r="AG38" i="8"/>
  <c r="AA38" i="8"/>
  <c r="AB38" i="8"/>
  <c r="AC38" i="8"/>
  <c r="Y38" i="8"/>
  <c r="X38" i="8"/>
  <c r="AH39" i="8"/>
  <c r="AI39" i="8"/>
  <c r="AJ39" i="8"/>
  <c r="AK39" i="8"/>
  <c r="AL39" i="8"/>
  <c r="AD39" i="8"/>
  <c r="AE39" i="8"/>
  <c r="AF39" i="8"/>
  <c r="AG39" i="8"/>
  <c r="AA39" i="8"/>
  <c r="AB39" i="8"/>
  <c r="AC39" i="8"/>
  <c r="Y39" i="8"/>
  <c r="X39" i="8"/>
  <c r="AH40" i="8"/>
  <c r="AI40" i="8"/>
  <c r="AJ40" i="8"/>
  <c r="AK40" i="8"/>
  <c r="AL40" i="8"/>
  <c r="AD40" i="8"/>
  <c r="AE40" i="8"/>
  <c r="AF40" i="8"/>
  <c r="AG40" i="8"/>
  <c r="AA40" i="8"/>
  <c r="AB40" i="8"/>
  <c r="AC40" i="8"/>
  <c r="Y40" i="8"/>
  <c r="X40" i="8"/>
  <c r="AH41" i="8"/>
  <c r="AI41" i="8"/>
  <c r="AJ41" i="8"/>
  <c r="AK41" i="8"/>
  <c r="AL41" i="8"/>
  <c r="AD41" i="8"/>
  <c r="AE41" i="8"/>
  <c r="AF41" i="8"/>
  <c r="AG41" i="8"/>
  <c r="AA41" i="8"/>
  <c r="AB41" i="8"/>
  <c r="AC41" i="8"/>
  <c r="Y41" i="8"/>
  <c r="X41" i="8"/>
  <c r="AH42" i="8"/>
  <c r="AI42" i="8"/>
  <c r="AJ42" i="8"/>
  <c r="AK42" i="8"/>
  <c r="AL42" i="8"/>
  <c r="AD42" i="8"/>
  <c r="AE42" i="8"/>
  <c r="AF42" i="8"/>
  <c r="AG42" i="8"/>
  <c r="AA42" i="8"/>
  <c r="AB42" i="8"/>
  <c r="AC42" i="8"/>
  <c r="Y42" i="8"/>
  <c r="X42" i="8"/>
  <c r="H737" i="23"/>
  <c r="F737" i="23"/>
  <c r="E737" i="23"/>
  <c r="B737" i="23" s="1"/>
  <c r="C737" i="23"/>
  <c r="C739" i="23"/>
  <c r="E739" i="23"/>
  <c r="B739" i="23" s="1"/>
  <c r="H739" i="23"/>
  <c r="C736" i="23"/>
  <c r="E736" i="23"/>
  <c r="B736" i="23" s="1"/>
  <c r="H736" i="23"/>
  <c r="F736" i="23"/>
  <c r="M17" i="9"/>
  <c r="V17" i="9" s="1"/>
  <c r="M18" i="9"/>
  <c r="V18" i="9" s="1"/>
  <c r="M19" i="9"/>
  <c r="M20" i="9"/>
  <c r="O20" i="9" s="1"/>
  <c r="M21" i="9"/>
  <c r="O21" i="9" s="1"/>
  <c r="M22" i="9"/>
  <c r="V22" i="9" s="1"/>
  <c r="M23" i="9"/>
  <c r="V23" i="9" s="1"/>
  <c r="M24" i="9"/>
  <c r="O24" i="9" s="1"/>
  <c r="M25" i="9"/>
  <c r="V25" i="9" s="1"/>
  <c r="M26" i="9"/>
  <c r="O26" i="9" s="1"/>
  <c r="M27" i="9"/>
  <c r="V27" i="9" s="1"/>
  <c r="M28" i="9"/>
  <c r="O28" i="9" s="1"/>
  <c r="M29" i="9"/>
  <c r="O29" i="9" s="1"/>
  <c r="M30" i="9"/>
  <c r="V30" i="9" s="1"/>
  <c r="M31" i="9"/>
  <c r="V31" i="9" s="1"/>
  <c r="M32" i="9"/>
  <c r="O32" i="9" s="1"/>
  <c r="M33" i="9"/>
  <c r="O33" i="9" s="1"/>
  <c r="M34" i="9"/>
  <c r="O34" i="9" s="1"/>
  <c r="M35" i="9"/>
  <c r="O35" i="9" s="1"/>
  <c r="M36" i="9"/>
  <c r="O36" i="9" s="1"/>
  <c r="M37" i="9"/>
  <c r="V37" i="9" s="1"/>
  <c r="M38" i="9"/>
  <c r="O38" i="9" s="1"/>
  <c r="M39" i="9"/>
  <c r="O39" i="9" s="1"/>
  <c r="M40" i="9"/>
  <c r="O40" i="9" s="1"/>
  <c r="M41" i="9"/>
  <c r="O41" i="9" s="1"/>
  <c r="M42" i="9"/>
  <c r="V42" i="9" s="1"/>
  <c r="M43" i="9"/>
  <c r="M44" i="9"/>
  <c r="V44" i="9" s="1"/>
  <c r="M45" i="9"/>
  <c r="O45" i="9" s="1"/>
  <c r="M46" i="9"/>
  <c r="V46" i="9" s="1"/>
  <c r="M47" i="9"/>
  <c r="O47" i="9" s="1"/>
  <c r="M48" i="9"/>
  <c r="O48" i="9" s="1"/>
  <c r="M49" i="9"/>
  <c r="M50" i="9"/>
  <c r="O50" i="9" s="1"/>
  <c r="AH18" i="8"/>
  <c r="AI18" i="8"/>
  <c r="AJ18" i="8"/>
  <c r="AK18" i="8"/>
  <c r="AL18" i="8"/>
  <c r="AH19" i="8"/>
  <c r="AI19" i="8"/>
  <c r="AJ19" i="8"/>
  <c r="AK19" i="8"/>
  <c r="AL19" i="8"/>
  <c r="AH20" i="8"/>
  <c r="AI20" i="8"/>
  <c r="AJ20" i="8"/>
  <c r="AK20" i="8"/>
  <c r="AL20" i="8"/>
  <c r="AH21" i="8"/>
  <c r="AI21" i="8"/>
  <c r="AJ21" i="8"/>
  <c r="AK21" i="8"/>
  <c r="AL21" i="8"/>
  <c r="AH22" i="8"/>
  <c r="AI22" i="8"/>
  <c r="AJ22" i="8"/>
  <c r="AK22" i="8"/>
  <c r="AL22" i="8"/>
  <c r="AH23" i="8"/>
  <c r="AI23" i="8"/>
  <c r="AJ23" i="8"/>
  <c r="AK23" i="8"/>
  <c r="AL23" i="8"/>
  <c r="AH24" i="8"/>
  <c r="AI24" i="8"/>
  <c r="AJ24" i="8"/>
  <c r="AK24" i="8"/>
  <c r="AL24" i="8"/>
  <c r="AH25" i="8"/>
  <c r="AI25" i="8"/>
  <c r="AJ25" i="8"/>
  <c r="AK25" i="8"/>
  <c r="AL25" i="8"/>
  <c r="AH26" i="8"/>
  <c r="AI26" i="8"/>
  <c r="AJ26" i="8"/>
  <c r="AK26" i="8"/>
  <c r="AL26" i="8"/>
  <c r="AH27" i="8"/>
  <c r="AI27" i="8"/>
  <c r="AJ27" i="8"/>
  <c r="AK27" i="8"/>
  <c r="AL27" i="8"/>
  <c r="AH43" i="8"/>
  <c r="AI43" i="8"/>
  <c r="AJ43" i="8"/>
  <c r="AK43" i="8"/>
  <c r="AL43" i="8"/>
  <c r="AH44" i="8"/>
  <c r="AI44" i="8"/>
  <c r="AJ44" i="8"/>
  <c r="AK44" i="8"/>
  <c r="AL44" i="8"/>
  <c r="AH45" i="8"/>
  <c r="AI45" i="8"/>
  <c r="AJ45" i="8"/>
  <c r="AK45" i="8"/>
  <c r="AL45" i="8"/>
  <c r="AH46" i="8"/>
  <c r="AI46" i="8"/>
  <c r="AJ46" i="8"/>
  <c r="AK46" i="8"/>
  <c r="AL46" i="8"/>
  <c r="AH47" i="8"/>
  <c r="AI47" i="8"/>
  <c r="AJ47" i="8"/>
  <c r="AK47" i="8"/>
  <c r="AL47" i="8"/>
  <c r="AH48" i="8"/>
  <c r="AI48" i="8"/>
  <c r="AJ48" i="8"/>
  <c r="AK48" i="8"/>
  <c r="AL48" i="8"/>
  <c r="AH49" i="8"/>
  <c r="AI49" i="8"/>
  <c r="AJ49" i="8"/>
  <c r="AK49" i="8"/>
  <c r="AL49" i="8"/>
  <c r="AH50" i="8"/>
  <c r="AI50" i="8"/>
  <c r="AJ50" i="8"/>
  <c r="AK50" i="8"/>
  <c r="AL50" i="8"/>
  <c r="AH51" i="8"/>
  <c r="AI51" i="8"/>
  <c r="AJ51" i="8"/>
  <c r="AK51" i="8"/>
  <c r="AL51" i="8"/>
  <c r="AH52" i="8"/>
  <c r="AI52" i="8"/>
  <c r="AJ52" i="8"/>
  <c r="AK52" i="8"/>
  <c r="AL52" i="8"/>
  <c r="AH53" i="8"/>
  <c r="AI53" i="8"/>
  <c r="AJ53" i="8"/>
  <c r="AK53" i="8"/>
  <c r="AL53" i="8"/>
  <c r="AH54" i="8"/>
  <c r="AI54" i="8"/>
  <c r="AJ54" i="8"/>
  <c r="AK54" i="8"/>
  <c r="AL54" i="8"/>
  <c r="AH55" i="8"/>
  <c r="AI55" i="8"/>
  <c r="AJ55" i="8"/>
  <c r="AK55" i="8"/>
  <c r="AL55" i="8"/>
  <c r="AH56" i="8"/>
  <c r="AI56" i="8"/>
  <c r="AJ56" i="8"/>
  <c r="AK56" i="8"/>
  <c r="AL56" i="8"/>
  <c r="AH57" i="8"/>
  <c r="AI57" i="8"/>
  <c r="AJ57" i="8"/>
  <c r="AK57" i="8"/>
  <c r="AL57" i="8"/>
  <c r="AH58" i="8"/>
  <c r="AI58" i="8"/>
  <c r="AJ58" i="8"/>
  <c r="AK58" i="8"/>
  <c r="AL58" i="8"/>
  <c r="AH59" i="8"/>
  <c r="AI59" i="8"/>
  <c r="AJ59" i="8"/>
  <c r="AK59" i="8"/>
  <c r="AL59" i="8"/>
  <c r="AH17" i="8"/>
  <c r="AI17" i="8"/>
  <c r="AJ17" i="8"/>
  <c r="AK17" i="8"/>
  <c r="AL17" i="8"/>
  <c r="AL60" i="8"/>
  <c r="AA18" i="1"/>
  <c r="AE18" i="1"/>
  <c r="AB18" i="1"/>
  <c r="AC18" i="1"/>
  <c r="AD18" i="1"/>
  <c r="AA19" i="1"/>
  <c r="AB19" i="1"/>
  <c r="AC19" i="1"/>
  <c r="AD19" i="1"/>
  <c r="AA20" i="1"/>
  <c r="M20" i="1"/>
  <c r="V20" i="1" s="1"/>
  <c r="AB20" i="1"/>
  <c r="AC20" i="1"/>
  <c r="AD20" i="1"/>
  <c r="AE20" i="1"/>
  <c r="AA21" i="1"/>
  <c r="AB21" i="1"/>
  <c r="AC21" i="1"/>
  <c r="AD21" i="1"/>
  <c r="AE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A27" i="1"/>
  <c r="AB27" i="1"/>
  <c r="AC27" i="1"/>
  <c r="AD27" i="1"/>
  <c r="AE27" i="1"/>
  <c r="AA28" i="1"/>
  <c r="AB28" i="1"/>
  <c r="AC28" i="1"/>
  <c r="AD28" i="1"/>
  <c r="AE28" i="1"/>
  <c r="AA29" i="1"/>
  <c r="AB29" i="1"/>
  <c r="AC29" i="1"/>
  <c r="AD29" i="1"/>
  <c r="AE29" i="1"/>
  <c r="AA30" i="1"/>
  <c r="AB30" i="1"/>
  <c r="AC30" i="1"/>
  <c r="AD30" i="1"/>
  <c r="AE30" i="1"/>
  <c r="AA31" i="1"/>
  <c r="AB31" i="1"/>
  <c r="AC31" i="1"/>
  <c r="AD31" i="1"/>
  <c r="AE31" i="1"/>
  <c r="AA32" i="1"/>
  <c r="AB32" i="1"/>
  <c r="AC32" i="1"/>
  <c r="AD32" i="1"/>
  <c r="AE32" i="1"/>
  <c r="AA33" i="1"/>
  <c r="AB33" i="1"/>
  <c r="AC33" i="1"/>
  <c r="AD33" i="1"/>
  <c r="AE33" i="1"/>
  <c r="AA34" i="1"/>
  <c r="AB34" i="1"/>
  <c r="AC34" i="1"/>
  <c r="AD34" i="1"/>
  <c r="AE34" i="1"/>
  <c r="AA35" i="1"/>
  <c r="AB35" i="1"/>
  <c r="AC35" i="1"/>
  <c r="AD35" i="1"/>
  <c r="AE35" i="1"/>
  <c r="AA36" i="1"/>
  <c r="AB36" i="1"/>
  <c r="AC36" i="1"/>
  <c r="AD36" i="1"/>
  <c r="AE36" i="1"/>
  <c r="AA37" i="1"/>
  <c r="AB37" i="1"/>
  <c r="AC37" i="1"/>
  <c r="AD37" i="1"/>
  <c r="AE37" i="1"/>
  <c r="AA38" i="1"/>
  <c r="AB38" i="1"/>
  <c r="AC38" i="1"/>
  <c r="AD38" i="1"/>
  <c r="AE38" i="1"/>
  <c r="AA39" i="1"/>
  <c r="AB39" i="1"/>
  <c r="AC39" i="1"/>
  <c r="AD39" i="1"/>
  <c r="AE39" i="1"/>
  <c r="AA40" i="1"/>
  <c r="AB40" i="1"/>
  <c r="AC40" i="1"/>
  <c r="AD40" i="1"/>
  <c r="AE40" i="1"/>
  <c r="AA41" i="1"/>
  <c r="AB41" i="1"/>
  <c r="AC41" i="1"/>
  <c r="AD41" i="1"/>
  <c r="AE41" i="1"/>
  <c r="AA42" i="1"/>
  <c r="AB42" i="1"/>
  <c r="AC42" i="1"/>
  <c r="AD42" i="1"/>
  <c r="AE42" i="1"/>
  <c r="AA43" i="1"/>
  <c r="AB43" i="1"/>
  <c r="AC43" i="1"/>
  <c r="AD43" i="1"/>
  <c r="AE43" i="1"/>
  <c r="AA44" i="1"/>
  <c r="AB44" i="1"/>
  <c r="AC44" i="1"/>
  <c r="AD44" i="1"/>
  <c r="AE44" i="1"/>
  <c r="AA45" i="1"/>
  <c r="AB45" i="1"/>
  <c r="AC45" i="1"/>
  <c r="AD45" i="1"/>
  <c r="AE45" i="1"/>
  <c r="AA46" i="1"/>
  <c r="AB46" i="1"/>
  <c r="AC46" i="1"/>
  <c r="AD46" i="1"/>
  <c r="AE46" i="1"/>
  <c r="AA47" i="1"/>
  <c r="AB47" i="1"/>
  <c r="AC47" i="1"/>
  <c r="AD47" i="1"/>
  <c r="AE47" i="1"/>
  <c r="AA48" i="1"/>
  <c r="AB48" i="1"/>
  <c r="AC48" i="1"/>
  <c r="AD48" i="1"/>
  <c r="AE48" i="1"/>
  <c r="AA49" i="1"/>
  <c r="AB49" i="1"/>
  <c r="AC49" i="1"/>
  <c r="AD49" i="1"/>
  <c r="AE49" i="1"/>
  <c r="AA50" i="1"/>
  <c r="AB50" i="1"/>
  <c r="AC50" i="1"/>
  <c r="AD50" i="1"/>
  <c r="AE50" i="1"/>
  <c r="AA51" i="1"/>
  <c r="AB51" i="1"/>
  <c r="AC51" i="1"/>
  <c r="AD51" i="1"/>
  <c r="AE51" i="1"/>
  <c r="AA52" i="1"/>
  <c r="AB52" i="1"/>
  <c r="AC52" i="1"/>
  <c r="AD52" i="1"/>
  <c r="AE52" i="1"/>
  <c r="AA53" i="1"/>
  <c r="AB53" i="1"/>
  <c r="AC53" i="1"/>
  <c r="AD53" i="1"/>
  <c r="AE53" i="1"/>
  <c r="AA54" i="1"/>
  <c r="AB54" i="1"/>
  <c r="AC54" i="1"/>
  <c r="AD54" i="1"/>
  <c r="AE54" i="1"/>
  <c r="AB18" i="6"/>
  <c r="AC18" i="6"/>
  <c r="AD18" i="6"/>
  <c r="AA18" i="6"/>
  <c r="AB19" i="6"/>
  <c r="AC19" i="6"/>
  <c r="AD19" i="6"/>
  <c r="AA19" i="6"/>
  <c r="AB20" i="6"/>
  <c r="AC20" i="6"/>
  <c r="AD20" i="6"/>
  <c r="AA20" i="6"/>
  <c r="AB21" i="6"/>
  <c r="AC21" i="6"/>
  <c r="AD21" i="6"/>
  <c r="AA21" i="6"/>
  <c r="AB22" i="6"/>
  <c r="AC22" i="6"/>
  <c r="AD22" i="6"/>
  <c r="AA22" i="6"/>
  <c r="AB23" i="6"/>
  <c r="AC23" i="6"/>
  <c r="AD23" i="6"/>
  <c r="AA23" i="6"/>
  <c r="AB24" i="6"/>
  <c r="AC24" i="6"/>
  <c r="AD24" i="6"/>
  <c r="AA24" i="6"/>
  <c r="AB25" i="6"/>
  <c r="AC25" i="6"/>
  <c r="AD25" i="6"/>
  <c r="AA25" i="6"/>
  <c r="AB26" i="6"/>
  <c r="AC26" i="6"/>
  <c r="AD26" i="6"/>
  <c r="AA26" i="6"/>
  <c r="AB27" i="6"/>
  <c r="AC27" i="6"/>
  <c r="AD27" i="6"/>
  <c r="AA27" i="6"/>
  <c r="AB28" i="6"/>
  <c r="AC28" i="6"/>
  <c r="AD28" i="6"/>
  <c r="AA28" i="6"/>
  <c r="AB29" i="6"/>
  <c r="AC29" i="6"/>
  <c r="AD29" i="6"/>
  <c r="AA29" i="6"/>
  <c r="AB30" i="6"/>
  <c r="AC30" i="6"/>
  <c r="AD30" i="6"/>
  <c r="AA30" i="6"/>
  <c r="AB31" i="6"/>
  <c r="AC31" i="6"/>
  <c r="AD31" i="6"/>
  <c r="AA31" i="6"/>
  <c r="AB32" i="6"/>
  <c r="AC32" i="6"/>
  <c r="AD32" i="6"/>
  <c r="AA32" i="6"/>
  <c r="AB33" i="6"/>
  <c r="AC33" i="6"/>
  <c r="AD33" i="6"/>
  <c r="AA33" i="6"/>
  <c r="AB34" i="6"/>
  <c r="AC34" i="6"/>
  <c r="AD34" i="6"/>
  <c r="AA34" i="6"/>
  <c r="AB35" i="6"/>
  <c r="AC35" i="6"/>
  <c r="AD35" i="6"/>
  <c r="AA35" i="6"/>
  <c r="AB36" i="6"/>
  <c r="AC36" i="6"/>
  <c r="AD36" i="6"/>
  <c r="AA36" i="6"/>
  <c r="AB37" i="6"/>
  <c r="AC37" i="6"/>
  <c r="AD37" i="6"/>
  <c r="AA37" i="6"/>
  <c r="AB38" i="6"/>
  <c r="AC38" i="6"/>
  <c r="AD38" i="6"/>
  <c r="AA38" i="6"/>
  <c r="AB39" i="6"/>
  <c r="AC39" i="6"/>
  <c r="AD39" i="6"/>
  <c r="AA39" i="6"/>
  <c r="AB40" i="6"/>
  <c r="AC40" i="6"/>
  <c r="AD40" i="6"/>
  <c r="AA40" i="6"/>
  <c r="AB41" i="6"/>
  <c r="AC41" i="6"/>
  <c r="AD41" i="6"/>
  <c r="AA41" i="6"/>
  <c r="AB42" i="6"/>
  <c r="AC42" i="6"/>
  <c r="AD42" i="6"/>
  <c r="AA42" i="6"/>
  <c r="AB43" i="6"/>
  <c r="AC43" i="6"/>
  <c r="AD43" i="6"/>
  <c r="AA43" i="6"/>
  <c r="AB44" i="6"/>
  <c r="AC44" i="6"/>
  <c r="AD44" i="6"/>
  <c r="AA44" i="6"/>
  <c r="AB45" i="6"/>
  <c r="AC45" i="6"/>
  <c r="AD45" i="6"/>
  <c r="AA45" i="6"/>
  <c r="AB46" i="6"/>
  <c r="AC46" i="6"/>
  <c r="AD46" i="6"/>
  <c r="AA46" i="6"/>
  <c r="AB47" i="6"/>
  <c r="AC47" i="6"/>
  <c r="AD47" i="6"/>
  <c r="AA47" i="6"/>
  <c r="AB48" i="6"/>
  <c r="AC48" i="6"/>
  <c r="AD48" i="6"/>
  <c r="AA48" i="6"/>
  <c r="AB49" i="6"/>
  <c r="AC49" i="6"/>
  <c r="AD49" i="6"/>
  <c r="AA49" i="6"/>
  <c r="AB50" i="6"/>
  <c r="AC50" i="6"/>
  <c r="AD50" i="6"/>
  <c r="AA50" i="6"/>
  <c r="AB51" i="6"/>
  <c r="AC51" i="6"/>
  <c r="AD51" i="6"/>
  <c r="AA51" i="6"/>
  <c r="AB52" i="6"/>
  <c r="AC52" i="6"/>
  <c r="AD52" i="6"/>
  <c r="AA52" i="6"/>
  <c r="AB53" i="6"/>
  <c r="AC53" i="6"/>
  <c r="AD53" i="6"/>
  <c r="AA53" i="6"/>
  <c r="AB54" i="6"/>
  <c r="AC54" i="6"/>
  <c r="AD54" i="6"/>
  <c r="AA54" i="6"/>
  <c r="AB55" i="6"/>
  <c r="AC55" i="6"/>
  <c r="AD55" i="6"/>
  <c r="AA55" i="6"/>
  <c r="AB56" i="6"/>
  <c r="AC56" i="6"/>
  <c r="AD56" i="6"/>
  <c r="AA56" i="6"/>
  <c r="AB57" i="6"/>
  <c r="AC57" i="6"/>
  <c r="AD57" i="6"/>
  <c r="AA57" i="6"/>
  <c r="AB17" i="6"/>
  <c r="AC17" i="6"/>
  <c r="AD17" i="6"/>
  <c r="AA17" i="6"/>
  <c r="AA58" i="6"/>
  <c r="AA17" i="1"/>
  <c r="AE17" i="1"/>
  <c r="AB17" i="1"/>
  <c r="AC17" i="1"/>
  <c r="AD17" i="1"/>
  <c r="C3" i="23"/>
  <c r="A584" i="23"/>
  <c r="H8" i="21"/>
  <c r="Z13" i="15"/>
  <c r="AA13" i="15"/>
  <c r="AB13" i="15"/>
  <c r="Z14" i="15"/>
  <c r="AA14" i="15"/>
  <c r="AB14" i="15"/>
  <c r="Z15" i="15"/>
  <c r="AA15" i="15"/>
  <c r="AB15" i="15"/>
  <c r="Z16" i="15"/>
  <c r="AA16" i="15"/>
  <c r="AB16" i="15"/>
  <c r="Z17" i="15"/>
  <c r="AA17" i="15"/>
  <c r="AB17" i="15"/>
  <c r="Z18" i="15"/>
  <c r="AA18" i="15"/>
  <c r="AB18" i="15"/>
  <c r="Z19" i="15"/>
  <c r="AA19" i="15"/>
  <c r="AB19" i="15"/>
  <c r="Z20" i="15"/>
  <c r="AA20" i="15"/>
  <c r="AB20" i="15"/>
  <c r="Z21" i="15"/>
  <c r="AA21" i="15"/>
  <c r="AB21" i="15"/>
  <c r="Z22" i="15"/>
  <c r="AA22" i="15"/>
  <c r="AB22" i="15"/>
  <c r="Z23" i="15"/>
  <c r="AA23" i="15"/>
  <c r="AB23" i="15"/>
  <c r="Z24" i="15"/>
  <c r="AA24" i="15"/>
  <c r="AB24" i="15"/>
  <c r="Z25" i="15"/>
  <c r="AA25" i="15"/>
  <c r="AB25" i="15"/>
  <c r="Z26" i="15"/>
  <c r="AA26" i="15"/>
  <c r="AB26" i="15"/>
  <c r="Z27" i="15"/>
  <c r="AA27" i="15"/>
  <c r="AB27" i="15"/>
  <c r="Z28" i="15"/>
  <c r="AA28" i="15"/>
  <c r="AB28" i="15"/>
  <c r="Z29" i="15"/>
  <c r="AA29" i="15"/>
  <c r="AB29" i="15"/>
  <c r="Z30" i="15"/>
  <c r="AA30" i="15"/>
  <c r="AB30" i="15"/>
  <c r="Z31" i="15"/>
  <c r="AA31" i="15"/>
  <c r="AB31" i="15"/>
  <c r="Z32" i="15"/>
  <c r="AA32" i="15"/>
  <c r="AB32" i="15"/>
  <c r="Z33" i="15"/>
  <c r="AA33" i="15"/>
  <c r="AB33" i="15"/>
  <c r="Z34" i="15"/>
  <c r="AA34" i="15"/>
  <c r="AB34" i="15"/>
  <c r="Z35" i="15"/>
  <c r="AA35" i="15"/>
  <c r="AB35" i="15"/>
  <c r="Z36" i="15"/>
  <c r="AA36" i="15"/>
  <c r="AB36" i="15"/>
  <c r="Z37" i="15"/>
  <c r="AA37" i="15"/>
  <c r="AB37" i="15"/>
  <c r="Z38" i="15"/>
  <c r="AA38" i="15"/>
  <c r="AB38" i="15"/>
  <c r="Z39" i="15"/>
  <c r="AA39" i="15"/>
  <c r="AB39" i="15"/>
  <c r="Z40" i="15"/>
  <c r="AA40" i="15"/>
  <c r="AB40" i="15"/>
  <c r="Z41" i="15"/>
  <c r="AA41" i="15"/>
  <c r="AB41" i="15"/>
  <c r="Z42" i="15"/>
  <c r="AA42" i="15"/>
  <c r="AB42" i="15"/>
  <c r="AB43" i="15"/>
  <c r="F44" i="15"/>
  <c r="E61" i="8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52" i="27"/>
  <c r="AD53" i="27"/>
  <c r="AD54" i="27"/>
  <c r="AD55" i="27"/>
  <c r="AE17" i="27"/>
  <c r="AE18" i="27"/>
  <c r="AE19" i="27"/>
  <c r="AE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53" i="27"/>
  <c r="AE54" i="27"/>
  <c r="AE55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F56" i="27"/>
  <c r="AE17" i="8"/>
  <c r="AE18" i="8"/>
  <c r="AE19" i="8"/>
  <c r="AE20" i="8"/>
  <c r="AE21" i="8"/>
  <c r="AE22" i="8"/>
  <c r="AE23" i="8"/>
  <c r="AE24" i="8"/>
  <c r="AE25" i="8"/>
  <c r="AE26" i="8"/>
  <c r="AE27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F17" i="8"/>
  <c r="AF18" i="8"/>
  <c r="AF19" i="8"/>
  <c r="AF20" i="8"/>
  <c r="AF21" i="8"/>
  <c r="AF22" i="8"/>
  <c r="AF23" i="8"/>
  <c r="AF24" i="8"/>
  <c r="AF25" i="8"/>
  <c r="AF26" i="8"/>
  <c r="AF27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D17" i="8"/>
  <c r="AD18" i="8"/>
  <c r="AD19" i="8"/>
  <c r="AD20" i="8"/>
  <c r="AD21" i="8"/>
  <c r="AD22" i="8"/>
  <c r="AD23" i="8"/>
  <c r="AD24" i="8"/>
  <c r="AD25" i="8"/>
  <c r="AD26" i="8"/>
  <c r="AD27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6" i="8"/>
  <c r="AD65" i="8"/>
  <c r="AD64" i="8"/>
  <c r="AD63" i="8"/>
  <c r="AB17" i="8"/>
  <c r="AA17" i="8"/>
  <c r="AG17" i="27"/>
  <c r="AA18" i="8"/>
  <c r="AB18" i="8"/>
  <c r="AC18" i="8"/>
  <c r="AG18" i="8"/>
  <c r="AA19" i="8"/>
  <c r="AB19" i="8"/>
  <c r="AC19" i="8"/>
  <c r="AG19" i="8"/>
  <c r="AA20" i="8"/>
  <c r="AB20" i="8"/>
  <c r="AC20" i="8"/>
  <c r="AG20" i="8"/>
  <c r="AA21" i="8"/>
  <c r="AB21" i="8"/>
  <c r="AC21" i="8"/>
  <c r="AG21" i="8"/>
  <c r="AA22" i="8"/>
  <c r="AB22" i="8"/>
  <c r="AC22" i="8"/>
  <c r="AG22" i="8"/>
  <c r="AA23" i="8"/>
  <c r="AB23" i="8"/>
  <c r="AC23" i="8"/>
  <c r="AG23" i="8"/>
  <c r="AA24" i="8"/>
  <c r="AB24" i="8"/>
  <c r="AC24" i="8"/>
  <c r="AG24" i="8"/>
  <c r="AA25" i="8"/>
  <c r="AB25" i="8"/>
  <c r="AC25" i="8"/>
  <c r="AG25" i="8"/>
  <c r="AA26" i="8"/>
  <c r="AB26" i="8"/>
  <c r="AC26" i="8"/>
  <c r="AG26" i="8"/>
  <c r="AA27" i="8"/>
  <c r="AB27" i="8"/>
  <c r="AC27" i="8"/>
  <c r="AG27" i="8"/>
  <c r="AA43" i="8"/>
  <c r="AB43" i="8"/>
  <c r="AC43" i="8"/>
  <c r="AG43" i="8"/>
  <c r="AA44" i="8"/>
  <c r="AB44" i="8"/>
  <c r="AC44" i="8"/>
  <c r="AG44" i="8"/>
  <c r="AA45" i="8"/>
  <c r="AB45" i="8"/>
  <c r="AC45" i="8"/>
  <c r="AG45" i="8"/>
  <c r="AA46" i="8"/>
  <c r="AB46" i="8"/>
  <c r="AC46" i="8"/>
  <c r="AG46" i="8"/>
  <c r="AA47" i="8"/>
  <c r="AB47" i="8"/>
  <c r="AC47" i="8"/>
  <c r="AG47" i="8"/>
  <c r="AA48" i="8"/>
  <c r="AB48" i="8"/>
  <c r="AC48" i="8"/>
  <c r="AG48" i="8"/>
  <c r="AA49" i="8"/>
  <c r="AB49" i="8"/>
  <c r="AC49" i="8"/>
  <c r="AG49" i="8"/>
  <c r="AA50" i="8"/>
  <c r="AB50" i="8"/>
  <c r="AC50" i="8"/>
  <c r="AG50" i="8"/>
  <c r="AA51" i="8"/>
  <c r="AB51" i="8"/>
  <c r="AC51" i="8"/>
  <c r="AG51" i="8"/>
  <c r="AA52" i="8"/>
  <c r="AB52" i="8"/>
  <c r="AC52" i="8"/>
  <c r="AG52" i="8"/>
  <c r="AA53" i="8"/>
  <c r="AB53" i="8"/>
  <c r="AC53" i="8"/>
  <c r="AG53" i="8"/>
  <c r="AA54" i="8"/>
  <c r="AB54" i="8"/>
  <c r="AC54" i="8"/>
  <c r="AG54" i="8"/>
  <c r="AA55" i="8"/>
  <c r="AB55" i="8"/>
  <c r="AC55" i="8"/>
  <c r="AG55" i="8"/>
  <c r="AA56" i="8"/>
  <c r="AB56" i="8"/>
  <c r="AC56" i="8"/>
  <c r="AG56" i="8"/>
  <c r="AA57" i="8"/>
  <c r="AB57" i="8"/>
  <c r="AC57" i="8"/>
  <c r="AG57" i="8"/>
  <c r="AA58" i="8"/>
  <c r="AB58" i="8"/>
  <c r="AC58" i="8"/>
  <c r="AG58" i="8"/>
  <c r="AA59" i="8"/>
  <c r="AB59" i="8"/>
  <c r="AC59" i="8"/>
  <c r="AG59" i="8"/>
  <c r="AG17" i="8"/>
  <c r="AC17" i="8"/>
  <c r="AD60" i="27"/>
  <c r="AD61" i="27"/>
  <c r="AD58" i="27"/>
  <c r="AD59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52" i="27"/>
  <c r="AG53" i="27"/>
  <c r="AG54" i="27"/>
  <c r="AA18" i="27"/>
  <c r="AB18" i="27"/>
  <c r="AC18" i="27"/>
  <c r="AA19" i="27"/>
  <c r="AB19" i="27"/>
  <c r="AC19" i="27"/>
  <c r="AA20" i="27"/>
  <c r="AB20" i="27"/>
  <c r="AC20" i="27"/>
  <c r="AA21" i="27"/>
  <c r="AB21" i="27"/>
  <c r="AC21" i="27"/>
  <c r="AA22" i="27"/>
  <c r="AB22" i="27"/>
  <c r="AC22" i="27"/>
  <c r="AA23" i="27"/>
  <c r="AB23" i="27"/>
  <c r="AC23" i="27"/>
  <c r="AA24" i="27"/>
  <c r="AB24" i="27"/>
  <c r="AC24" i="27"/>
  <c r="AA25" i="27"/>
  <c r="AB25" i="27"/>
  <c r="AC25" i="27"/>
  <c r="AA26" i="27"/>
  <c r="AB26" i="27"/>
  <c r="AC26" i="27"/>
  <c r="AA27" i="27"/>
  <c r="AB27" i="27"/>
  <c r="AC27" i="27"/>
  <c r="AA28" i="27"/>
  <c r="AB28" i="27"/>
  <c r="AC28" i="27"/>
  <c r="AA29" i="27"/>
  <c r="AB29" i="27"/>
  <c r="AC29" i="27"/>
  <c r="AA30" i="27"/>
  <c r="AB30" i="27"/>
  <c r="AC30" i="27"/>
  <c r="AA31" i="27"/>
  <c r="AB31" i="27"/>
  <c r="AC31" i="27"/>
  <c r="AA32" i="27"/>
  <c r="AB32" i="27"/>
  <c r="AC32" i="27"/>
  <c r="AA33" i="27"/>
  <c r="AB33" i="27"/>
  <c r="AC33" i="27"/>
  <c r="AA34" i="27"/>
  <c r="AB34" i="27"/>
  <c r="AC34" i="27"/>
  <c r="AA35" i="27"/>
  <c r="AB35" i="27"/>
  <c r="AC35" i="27"/>
  <c r="AA36" i="27"/>
  <c r="AB36" i="27"/>
  <c r="AC36" i="27"/>
  <c r="AA37" i="27"/>
  <c r="AB37" i="27"/>
  <c r="AC37" i="27"/>
  <c r="AA38" i="27"/>
  <c r="AB38" i="27"/>
  <c r="AC38" i="27"/>
  <c r="AA39" i="27"/>
  <c r="AB39" i="27"/>
  <c r="AC39" i="27"/>
  <c r="AA40" i="27"/>
  <c r="AB40" i="27"/>
  <c r="AC40" i="27"/>
  <c r="AA41" i="27"/>
  <c r="AB41" i="27"/>
  <c r="AC41" i="27"/>
  <c r="AA42" i="27"/>
  <c r="AB42" i="27"/>
  <c r="AC42" i="27"/>
  <c r="AA43" i="27"/>
  <c r="AB43" i="27"/>
  <c r="AC43" i="27"/>
  <c r="AA44" i="27"/>
  <c r="AB44" i="27"/>
  <c r="AC44" i="27"/>
  <c r="AA45" i="27"/>
  <c r="AB45" i="27"/>
  <c r="AC45" i="27"/>
  <c r="AA46" i="27"/>
  <c r="AB46" i="27"/>
  <c r="AC46" i="27"/>
  <c r="AA47" i="27"/>
  <c r="AB47" i="27"/>
  <c r="AC47" i="27"/>
  <c r="AA48" i="27"/>
  <c r="AB48" i="27"/>
  <c r="AC48" i="27"/>
  <c r="AA49" i="27"/>
  <c r="AB49" i="27"/>
  <c r="AC49" i="27"/>
  <c r="AA50" i="27"/>
  <c r="AB50" i="27"/>
  <c r="AC50" i="27"/>
  <c r="AA51" i="27"/>
  <c r="AB51" i="27"/>
  <c r="AC51" i="27"/>
  <c r="AA52" i="27"/>
  <c r="AB52" i="27"/>
  <c r="AC52" i="27"/>
  <c r="AA53" i="27"/>
  <c r="AB53" i="27"/>
  <c r="AC53" i="27"/>
  <c r="AA54" i="27"/>
  <c r="AB54" i="27"/>
  <c r="AC54" i="27"/>
  <c r="AB17" i="27"/>
  <c r="AA17" i="27"/>
  <c r="AC17" i="27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17" i="6"/>
  <c r="AH17" i="6"/>
  <c r="AH19" i="6"/>
  <c r="AJ19" i="6"/>
  <c r="AJ17" i="6"/>
  <c r="AH18" i="6"/>
  <c r="AJ18" i="6"/>
  <c r="AH20" i="6"/>
  <c r="AJ20" i="6"/>
  <c r="AH21" i="6"/>
  <c r="AJ21" i="6"/>
  <c r="AH22" i="6"/>
  <c r="AJ22" i="6"/>
  <c r="AH23" i="6"/>
  <c r="AJ23" i="6"/>
  <c r="AH24" i="6"/>
  <c r="AJ24" i="6"/>
  <c r="AH25" i="6"/>
  <c r="AJ25" i="6"/>
  <c r="AH26" i="6"/>
  <c r="AJ26" i="6"/>
  <c r="AH27" i="6"/>
  <c r="AJ27" i="6"/>
  <c r="AH28" i="6"/>
  <c r="AJ28" i="6"/>
  <c r="AH29" i="6"/>
  <c r="AJ29" i="6"/>
  <c r="AH30" i="6"/>
  <c r="AJ30" i="6"/>
  <c r="AH31" i="6"/>
  <c r="AJ31" i="6"/>
  <c r="AH32" i="6"/>
  <c r="AJ32" i="6"/>
  <c r="AH33" i="6"/>
  <c r="AJ33" i="6"/>
  <c r="AH34" i="6"/>
  <c r="AJ34" i="6"/>
  <c r="AH35" i="6"/>
  <c r="AJ35" i="6"/>
  <c r="AH36" i="6"/>
  <c r="AJ36" i="6"/>
  <c r="AH37" i="6"/>
  <c r="AJ37" i="6"/>
  <c r="AH38" i="6"/>
  <c r="AJ38" i="6"/>
  <c r="AH39" i="6"/>
  <c r="AJ39" i="6"/>
  <c r="AH40" i="6"/>
  <c r="AJ40" i="6"/>
  <c r="AH41" i="6"/>
  <c r="AJ41" i="6"/>
  <c r="AH42" i="6"/>
  <c r="AJ42" i="6"/>
  <c r="AH43" i="6"/>
  <c r="AJ43" i="6"/>
  <c r="AH44" i="6"/>
  <c r="AJ44" i="6"/>
  <c r="AH45" i="6"/>
  <c r="AJ45" i="6"/>
  <c r="AH46" i="6"/>
  <c r="AJ46" i="6"/>
  <c r="AH47" i="6"/>
  <c r="AJ47" i="6"/>
  <c r="AH48" i="6"/>
  <c r="AJ48" i="6"/>
  <c r="AH49" i="6"/>
  <c r="AJ49" i="6"/>
  <c r="AH50" i="6"/>
  <c r="AJ50" i="6"/>
  <c r="AH51" i="6"/>
  <c r="AJ51" i="6"/>
  <c r="AH52" i="6"/>
  <c r="AJ52" i="6"/>
  <c r="AH53" i="6"/>
  <c r="AJ53" i="6"/>
  <c r="AH54" i="6"/>
  <c r="AJ54" i="6"/>
  <c r="AH55" i="6"/>
  <c r="AJ55" i="6"/>
  <c r="AH56" i="6"/>
  <c r="AJ56" i="6"/>
  <c r="AH57" i="6"/>
  <c r="AJ57" i="6"/>
  <c r="AJ58" i="6"/>
  <c r="F59" i="6"/>
  <c r="AA25" i="17"/>
  <c r="Z25" i="17"/>
  <c r="AB25" i="17"/>
  <c r="Z26" i="17"/>
  <c r="AA26" i="17"/>
  <c r="AB26" i="17"/>
  <c r="Z13" i="17"/>
  <c r="AA13" i="17"/>
  <c r="AB13" i="17"/>
  <c r="Z14" i="17"/>
  <c r="AA14" i="17"/>
  <c r="AB14" i="17"/>
  <c r="Z15" i="17"/>
  <c r="AA15" i="17"/>
  <c r="AB15" i="17"/>
  <c r="Z16" i="17"/>
  <c r="AA16" i="17"/>
  <c r="AB16" i="17"/>
  <c r="Z17" i="17"/>
  <c r="AA17" i="17"/>
  <c r="AB17" i="17"/>
  <c r="Z18" i="17"/>
  <c r="AA18" i="17"/>
  <c r="AB18" i="17"/>
  <c r="Z19" i="17"/>
  <c r="AA19" i="17"/>
  <c r="AB19" i="17"/>
  <c r="Z20" i="17"/>
  <c r="AA20" i="17"/>
  <c r="AB20" i="17"/>
  <c r="Z21" i="17"/>
  <c r="AA21" i="17"/>
  <c r="AB21" i="17"/>
  <c r="Z22" i="17"/>
  <c r="AA22" i="17"/>
  <c r="AB22" i="17"/>
  <c r="Z23" i="17"/>
  <c r="AA23" i="17"/>
  <c r="AB23" i="17"/>
  <c r="Z24" i="17"/>
  <c r="AA24" i="17"/>
  <c r="AB24" i="17"/>
  <c r="Z27" i="17"/>
  <c r="AA27" i="17"/>
  <c r="AB27" i="17"/>
  <c r="Z28" i="17"/>
  <c r="AA28" i="17"/>
  <c r="AB28" i="17"/>
  <c r="Z29" i="17"/>
  <c r="AA29" i="17"/>
  <c r="AB29" i="17"/>
  <c r="Z30" i="17"/>
  <c r="AA30" i="17"/>
  <c r="AB30" i="17"/>
  <c r="Z31" i="17"/>
  <c r="AA31" i="17"/>
  <c r="AB31" i="17"/>
  <c r="Z32" i="17"/>
  <c r="AA32" i="17"/>
  <c r="AB32" i="17"/>
  <c r="Z33" i="17"/>
  <c r="AA33" i="17"/>
  <c r="AB33" i="17"/>
  <c r="Z34" i="17"/>
  <c r="AA34" i="17"/>
  <c r="AB34" i="17"/>
  <c r="Z35" i="17"/>
  <c r="AA35" i="17"/>
  <c r="AB35" i="17"/>
  <c r="Z36" i="17"/>
  <c r="AA36" i="17"/>
  <c r="AB36" i="17"/>
  <c r="Z37" i="17"/>
  <c r="AA37" i="17"/>
  <c r="AB37" i="17"/>
  <c r="Z38" i="17"/>
  <c r="AA38" i="17"/>
  <c r="AB38" i="17"/>
  <c r="Z39" i="17"/>
  <c r="AA39" i="17"/>
  <c r="AB39" i="17"/>
  <c r="Z40" i="17"/>
  <c r="AA40" i="17"/>
  <c r="AB40" i="17"/>
  <c r="Z41" i="17"/>
  <c r="AA41" i="17"/>
  <c r="AB41" i="17"/>
  <c r="Z42" i="17"/>
  <c r="AA42" i="17"/>
  <c r="AB42" i="17"/>
  <c r="AB43" i="17"/>
  <c r="F44" i="17"/>
  <c r="AJ38" i="1"/>
  <c r="AI38" i="1"/>
  <c r="AK38" i="1"/>
  <c r="AI17" i="1"/>
  <c r="AJ17" i="1"/>
  <c r="AK17" i="1"/>
  <c r="AI18" i="1"/>
  <c r="AJ18" i="1"/>
  <c r="AK18" i="1"/>
  <c r="AI19" i="1"/>
  <c r="AK19" i="1"/>
  <c r="AJ19" i="1"/>
  <c r="AI20" i="1"/>
  <c r="AK20" i="1"/>
  <c r="AJ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I39" i="1"/>
  <c r="AJ39" i="1"/>
  <c r="AK39" i="1"/>
  <c r="AI40" i="1"/>
  <c r="AJ40" i="1"/>
  <c r="AK40" i="1"/>
  <c r="AI41" i="1"/>
  <c r="AJ41" i="1"/>
  <c r="AK41" i="1"/>
  <c r="AI42" i="1"/>
  <c r="AJ42" i="1"/>
  <c r="AK42" i="1"/>
  <c r="AI43" i="1"/>
  <c r="AJ43" i="1"/>
  <c r="AK43" i="1"/>
  <c r="AI44" i="1"/>
  <c r="AJ44" i="1"/>
  <c r="AK44" i="1"/>
  <c r="AI45" i="1"/>
  <c r="AJ45" i="1"/>
  <c r="AK45" i="1"/>
  <c r="AI46" i="1"/>
  <c r="AJ46" i="1"/>
  <c r="AK46" i="1"/>
  <c r="AI47" i="1"/>
  <c r="AJ47" i="1"/>
  <c r="AK47" i="1"/>
  <c r="AI48" i="1"/>
  <c r="AJ48" i="1"/>
  <c r="AK48" i="1"/>
  <c r="AI49" i="1"/>
  <c r="AJ49" i="1"/>
  <c r="AK49" i="1"/>
  <c r="AI50" i="1"/>
  <c r="AJ50" i="1"/>
  <c r="AK50" i="1"/>
  <c r="AI51" i="1"/>
  <c r="AJ51" i="1"/>
  <c r="AK51" i="1"/>
  <c r="AI52" i="1"/>
  <c r="AJ52" i="1"/>
  <c r="AK52" i="1"/>
  <c r="AI53" i="1"/>
  <c r="AJ53" i="1"/>
  <c r="AK53" i="1"/>
  <c r="AI54" i="1"/>
  <c r="AJ54" i="1"/>
  <c r="AK54" i="1"/>
  <c r="AE18" i="6"/>
  <c r="AF18" i="6"/>
  <c r="AG18" i="6"/>
  <c r="AE19" i="6"/>
  <c r="AF19" i="6"/>
  <c r="AG19" i="6"/>
  <c r="AE20" i="6"/>
  <c r="AF20" i="6"/>
  <c r="AG20" i="6"/>
  <c r="AE21" i="6"/>
  <c r="AF21" i="6"/>
  <c r="AG21" i="6"/>
  <c r="AE22" i="6"/>
  <c r="AF22" i="6"/>
  <c r="AG22" i="6"/>
  <c r="AE23" i="6"/>
  <c r="AF23" i="6"/>
  <c r="AG23" i="6"/>
  <c r="AE24" i="6"/>
  <c r="AF24" i="6"/>
  <c r="AG24" i="6"/>
  <c r="AE25" i="6"/>
  <c r="AF25" i="6"/>
  <c r="AG25" i="6"/>
  <c r="AE26" i="6"/>
  <c r="AF26" i="6"/>
  <c r="AG26" i="6"/>
  <c r="AF27" i="6"/>
  <c r="AE27" i="6"/>
  <c r="AG27" i="6"/>
  <c r="AE28" i="6"/>
  <c r="AF28" i="6"/>
  <c r="AG28" i="6"/>
  <c r="AE29" i="6"/>
  <c r="AF29" i="6"/>
  <c r="AG29" i="6"/>
  <c r="AE30" i="6"/>
  <c r="AF30" i="6"/>
  <c r="AG30" i="6"/>
  <c r="AE31" i="6"/>
  <c r="AF31" i="6"/>
  <c r="AG31" i="6"/>
  <c r="AE32" i="6"/>
  <c r="AF32" i="6"/>
  <c r="AG32" i="6"/>
  <c r="AE33" i="6"/>
  <c r="AF33" i="6"/>
  <c r="AG33" i="6"/>
  <c r="AE34" i="6"/>
  <c r="AF34" i="6"/>
  <c r="AG34" i="6"/>
  <c r="AE35" i="6"/>
  <c r="AF35" i="6"/>
  <c r="AG35" i="6"/>
  <c r="AE36" i="6"/>
  <c r="AF36" i="6"/>
  <c r="AG36" i="6"/>
  <c r="AE37" i="6"/>
  <c r="AF37" i="6"/>
  <c r="AG37" i="6"/>
  <c r="AE38" i="6"/>
  <c r="AF38" i="6"/>
  <c r="AG38" i="6"/>
  <c r="AE39" i="6"/>
  <c r="AF39" i="6"/>
  <c r="AG39" i="6"/>
  <c r="AE40" i="6"/>
  <c r="AF40" i="6"/>
  <c r="AG40" i="6"/>
  <c r="AE41" i="6"/>
  <c r="AF41" i="6"/>
  <c r="AG41" i="6"/>
  <c r="AE42" i="6"/>
  <c r="AF42" i="6"/>
  <c r="AG42" i="6"/>
  <c r="AE43" i="6"/>
  <c r="AF43" i="6"/>
  <c r="AG43" i="6"/>
  <c r="AE44" i="6"/>
  <c r="AF44" i="6"/>
  <c r="AG44" i="6"/>
  <c r="AE45" i="6"/>
  <c r="AF45" i="6"/>
  <c r="AG45" i="6"/>
  <c r="AE46" i="6"/>
  <c r="AF46" i="6"/>
  <c r="AG46" i="6"/>
  <c r="AE47" i="6"/>
  <c r="AF47" i="6"/>
  <c r="AG47" i="6"/>
  <c r="AE48" i="6"/>
  <c r="AF48" i="6"/>
  <c r="AG48" i="6"/>
  <c r="AE49" i="6"/>
  <c r="AF49" i="6"/>
  <c r="AG49" i="6"/>
  <c r="AE50" i="6"/>
  <c r="AF50" i="6"/>
  <c r="AG50" i="6"/>
  <c r="AE51" i="6"/>
  <c r="AF51" i="6"/>
  <c r="AG51" i="6"/>
  <c r="AE52" i="6"/>
  <c r="AF52" i="6"/>
  <c r="AG52" i="6"/>
  <c r="AE53" i="6"/>
  <c r="AF53" i="6"/>
  <c r="AG53" i="6"/>
  <c r="AE54" i="6"/>
  <c r="AF54" i="6"/>
  <c r="AG54" i="6"/>
  <c r="AE55" i="6"/>
  <c r="AF55" i="6"/>
  <c r="AG55" i="6"/>
  <c r="AE56" i="6"/>
  <c r="AF56" i="6"/>
  <c r="AG56" i="6"/>
  <c r="AE57" i="6"/>
  <c r="AF57" i="6"/>
  <c r="AG57" i="6"/>
  <c r="AE17" i="6"/>
  <c r="AF17" i="6"/>
  <c r="AG17" i="6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17" i="1"/>
  <c r="AF18" i="1"/>
  <c r="AF19" i="1"/>
  <c r="AH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17" i="1"/>
  <c r="C74" i="23"/>
  <c r="E74" i="23"/>
  <c r="B74" i="23" s="1"/>
  <c r="H74" i="23"/>
  <c r="F74" i="23"/>
  <c r="K2" i="19"/>
  <c r="E2" i="13" s="1"/>
  <c r="H741" i="23"/>
  <c r="F741" i="23"/>
  <c r="E741" i="23"/>
  <c r="B741" i="23" s="1"/>
  <c r="C741" i="23"/>
  <c r="AH22" i="1"/>
  <c r="AH25" i="1"/>
  <c r="AH28" i="1"/>
  <c r="AH33" i="1"/>
  <c r="AH34" i="1"/>
  <c r="AH37" i="1"/>
  <c r="AH39" i="1"/>
  <c r="AH40" i="1"/>
  <c r="AH46" i="1"/>
  <c r="AH49" i="1"/>
  <c r="AH50" i="1"/>
  <c r="AH51" i="1"/>
  <c r="AH52" i="1"/>
  <c r="AH17" i="1"/>
  <c r="AH20" i="1"/>
  <c r="AH21" i="1"/>
  <c r="AH26" i="1"/>
  <c r="AH27" i="1"/>
  <c r="AH32" i="1"/>
  <c r="AH35" i="1"/>
  <c r="AH38" i="1"/>
  <c r="AH44" i="1"/>
  <c r="AH45" i="1"/>
  <c r="AH47" i="1"/>
  <c r="AH53" i="1"/>
  <c r="AH41" i="1"/>
  <c r="AH29" i="1"/>
  <c r="AH23" i="1"/>
  <c r="AH43" i="1"/>
  <c r="AH31" i="1"/>
  <c r="AH54" i="1"/>
  <c r="AH48" i="1"/>
  <c r="AH42" i="1"/>
  <c r="AH36" i="1"/>
  <c r="AH30" i="1"/>
  <c r="AH24" i="1"/>
  <c r="AH18" i="1"/>
  <c r="F20" i="23"/>
  <c r="C191" i="23"/>
  <c r="E191" i="23"/>
  <c r="B191" i="23" s="1"/>
  <c r="H191" i="23"/>
  <c r="F191" i="23"/>
  <c r="H420" i="23"/>
  <c r="C228" i="23"/>
  <c r="E228" i="23"/>
  <c r="B228" i="23" s="1"/>
  <c r="H228" i="23"/>
  <c r="F228" i="23"/>
  <c r="C735" i="23"/>
  <c r="E735" i="23"/>
  <c r="B735" i="23" s="1"/>
  <c r="H735" i="23"/>
  <c r="F735" i="23"/>
  <c r="C740" i="23"/>
  <c r="E740" i="23"/>
  <c r="B740" i="23" s="1"/>
  <c r="H740" i="23"/>
  <c r="F740" i="23"/>
  <c r="H3" i="23"/>
  <c r="F3" i="23"/>
  <c r="E3" i="23"/>
  <c r="B3" i="23" s="1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7" i="23"/>
  <c r="L158" i="23"/>
  <c r="L159" i="23"/>
  <c r="L160" i="23"/>
  <c r="L163" i="23"/>
  <c r="L164" i="23"/>
  <c r="L165" i="23"/>
  <c r="L166" i="23"/>
  <c r="L167" i="23"/>
  <c r="L168" i="23"/>
  <c r="L169" i="23"/>
  <c r="L170" i="23"/>
  <c r="L171" i="23"/>
  <c r="L172" i="23"/>
  <c r="L173" i="23"/>
  <c r="L174" i="23"/>
  <c r="L175" i="23"/>
  <c r="L176" i="23"/>
  <c r="L177" i="23"/>
  <c r="L178" i="23"/>
  <c r="L179" i="23"/>
  <c r="L180" i="23"/>
  <c r="L181" i="23"/>
  <c r="L182" i="23"/>
  <c r="L183" i="23"/>
  <c r="L184" i="23"/>
  <c r="L185" i="23"/>
  <c r="L186" i="23"/>
  <c r="L187" i="23"/>
  <c r="L188" i="23"/>
  <c r="L189" i="23"/>
  <c r="L190" i="23"/>
  <c r="L191" i="23"/>
  <c r="L192" i="23"/>
  <c r="L193" i="23"/>
  <c r="L194" i="23"/>
  <c r="L195" i="23"/>
  <c r="L196" i="23"/>
  <c r="L197" i="23"/>
  <c r="L198" i="23"/>
  <c r="L199" i="23"/>
  <c r="L200" i="23"/>
  <c r="L201" i="23"/>
  <c r="L202" i="23"/>
  <c r="L203" i="23"/>
  <c r="L204" i="23"/>
  <c r="L205" i="23"/>
  <c r="L206" i="23"/>
  <c r="L207" i="23"/>
  <c r="L208" i="23"/>
  <c r="L209" i="23"/>
  <c r="L210" i="23"/>
  <c r="L211" i="23"/>
  <c r="L212" i="23"/>
  <c r="L213" i="23"/>
  <c r="L214" i="23"/>
  <c r="L215" i="23"/>
  <c r="L216" i="23"/>
  <c r="L217" i="23"/>
  <c r="L218" i="23"/>
  <c r="L219" i="23"/>
  <c r="L220" i="23"/>
  <c r="L221" i="23"/>
  <c r="L222" i="23"/>
  <c r="L223" i="23"/>
  <c r="L224" i="23"/>
  <c r="L225" i="23"/>
  <c r="L226" i="23"/>
  <c r="L227" i="23"/>
  <c r="L228" i="23"/>
  <c r="L229" i="23"/>
  <c r="L230" i="23"/>
  <c r="L231" i="23"/>
  <c r="L232" i="23"/>
  <c r="L233" i="23"/>
  <c r="L234" i="23"/>
  <c r="L235" i="23"/>
  <c r="L236" i="23"/>
  <c r="L238" i="23"/>
  <c r="L239" i="23"/>
  <c r="L240" i="23"/>
  <c r="L241" i="23"/>
  <c r="L242" i="23"/>
  <c r="L243" i="23"/>
  <c r="L244" i="23"/>
  <c r="L245" i="23"/>
  <c r="L246" i="23"/>
  <c r="L247" i="23"/>
  <c r="L248" i="23"/>
  <c r="L249" i="23"/>
  <c r="L250" i="23"/>
  <c r="L251" i="23"/>
  <c r="L252" i="23"/>
  <c r="L253" i="23"/>
  <c r="L254" i="23"/>
  <c r="L255" i="23"/>
  <c r="L256" i="23"/>
  <c r="L257" i="23"/>
  <c r="L258" i="23"/>
  <c r="L259" i="23"/>
  <c r="L260" i="23"/>
  <c r="L262" i="23"/>
  <c r="L263" i="23"/>
  <c r="L264" i="23"/>
  <c r="L265" i="23"/>
  <c r="L266" i="23"/>
  <c r="L267" i="23"/>
  <c r="L268" i="23"/>
  <c r="L269" i="23"/>
  <c r="L270" i="23"/>
  <c r="L271" i="23"/>
  <c r="L272" i="23"/>
  <c r="L273" i="23"/>
  <c r="L274" i="23"/>
  <c r="L275" i="23"/>
  <c r="L276" i="23"/>
  <c r="L277" i="23"/>
  <c r="L278" i="23"/>
  <c r="L279" i="23"/>
  <c r="L280" i="23"/>
  <c r="L281" i="23"/>
  <c r="L282" i="23"/>
  <c r="L283" i="23"/>
  <c r="L284" i="23"/>
  <c r="L285" i="23"/>
  <c r="L286" i="23"/>
  <c r="L287" i="23"/>
  <c r="L288" i="23"/>
  <c r="L289" i="23"/>
  <c r="L290" i="23"/>
  <c r="L291" i="23"/>
  <c r="L292" i="23"/>
  <c r="L293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3" i="23"/>
  <c r="Q27" i="21"/>
  <c r="Q28" i="21" s="1"/>
  <c r="Q26" i="21"/>
  <c r="Q25" i="21" s="1"/>
  <c r="C4" i="28"/>
  <c r="C7" i="28"/>
  <c r="B7" i="28"/>
  <c r="F4" i="23"/>
  <c r="F5" i="23"/>
  <c r="F6" i="23"/>
  <c r="H4" i="23"/>
  <c r="H5" i="23"/>
  <c r="H6" i="23"/>
  <c r="F7" i="23"/>
  <c r="H7" i="23"/>
  <c r="F8" i="23"/>
  <c r="H8" i="23"/>
  <c r="F9" i="23"/>
  <c r="H9" i="23"/>
  <c r="F10" i="23"/>
  <c r="H10" i="23"/>
  <c r="F11" i="23"/>
  <c r="H11" i="23"/>
  <c r="F12" i="23"/>
  <c r="H12" i="23"/>
  <c r="F13" i="23"/>
  <c r="H13" i="23"/>
  <c r="F14" i="23"/>
  <c r="H14" i="23"/>
  <c r="F15" i="23"/>
  <c r="H15" i="23"/>
  <c r="F16" i="23"/>
  <c r="H16" i="23"/>
  <c r="F18" i="23"/>
  <c r="H18" i="23"/>
  <c r="F19" i="23"/>
  <c r="H19" i="23"/>
  <c r="H20" i="23"/>
  <c r="F21" i="23"/>
  <c r="H21" i="23"/>
  <c r="F22" i="23"/>
  <c r="H22" i="23"/>
  <c r="F23" i="23"/>
  <c r="H23" i="23"/>
  <c r="F24" i="23"/>
  <c r="H24" i="23"/>
  <c r="F25" i="23"/>
  <c r="H25" i="23"/>
  <c r="F26" i="23"/>
  <c r="H26" i="23"/>
  <c r="F27" i="23"/>
  <c r="H27" i="23"/>
  <c r="F28" i="23"/>
  <c r="H28" i="23"/>
  <c r="F29" i="23"/>
  <c r="H29" i="23"/>
  <c r="F30" i="23"/>
  <c r="H30" i="23"/>
  <c r="F31" i="23"/>
  <c r="H31" i="23"/>
  <c r="F32" i="23"/>
  <c r="H32" i="23"/>
  <c r="F33" i="23"/>
  <c r="H33" i="23"/>
  <c r="F34" i="23"/>
  <c r="H34" i="23"/>
  <c r="F35" i="23"/>
  <c r="H35" i="23"/>
  <c r="F36" i="23"/>
  <c r="H36" i="23"/>
  <c r="F37" i="23"/>
  <c r="H37" i="23"/>
  <c r="F38" i="23"/>
  <c r="H38" i="23"/>
  <c r="F39" i="23"/>
  <c r="H39" i="23"/>
  <c r="F40" i="23"/>
  <c r="H40" i="23"/>
  <c r="F41" i="23"/>
  <c r="H41" i="23"/>
  <c r="F42" i="23"/>
  <c r="H42" i="23"/>
  <c r="F43" i="23"/>
  <c r="H43" i="23"/>
  <c r="F44" i="23"/>
  <c r="H44" i="23"/>
  <c r="F45" i="23"/>
  <c r="H45" i="23"/>
  <c r="F46" i="23"/>
  <c r="H46" i="23"/>
  <c r="F47" i="23"/>
  <c r="H47" i="23"/>
  <c r="F48" i="23"/>
  <c r="H48" i="23"/>
  <c r="F49" i="23"/>
  <c r="H49" i="23"/>
  <c r="F50" i="23"/>
  <c r="H50" i="23"/>
  <c r="F51" i="23"/>
  <c r="H51" i="23"/>
  <c r="F52" i="23"/>
  <c r="H52" i="23"/>
  <c r="F53" i="23"/>
  <c r="H53" i="23"/>
  <c r="F54" i="23"/>
  <c r="H54" i="23"/>
  <c r="F55" i="23"/>
  <c r="H55" i="23"/>
  <c r="F56" i="23"/>
  <c r="H56" i="23"/>
  <c r="F57" i="23"/>
  <c r="H57" i="23"/>
  <c r="F58" i="23"/>
  <c r="H58" i="23"/>
  <c r="F59" i="23"/>
  <c r="H59" i="23"/>
  <c r="F60" i="23"/>
  <c r="H60" i="23"/>
  <c r="F61" i="23"/>
  <c r="H61" i="23"/>
  <c r="F62" i="23"/>
  <c r="H62" i="23"/>
  <c r="F63" i="23"/>
  <c r="H63" i="23"/>
  <c r="F64" i="23"/>
  <c r="H64" i="23"/>
  <c r="F65" i="23"/>
  <c r="H65" i="23"/>
  <c r="F66" i="23"/>
  <c r="H66" i="23"/>
  <c r="F67" i="23"/>
  <c r="H67" i="23"/>
  <c r="F68" i="23"/>
  <c r="H68" i="23"/>
  <c r="F69" i="23"/>
  <c r="H69" i="23"/>
  <c r="F70" i="23"/>
  <c r="H70" i="23"/>
  <c r="F71" i="23"/>
  <c r="H71" i="23"/>
  <c r="F72" i="23"/>
  <c r="H72" i="23"/>
  <c r="F73" i="23"/>
  <c r="H73" i="23"/>
  <c r="F75" i="23"/>
  <c r="H75" i="23"/>
  <c r="F76" i="23"/>
  <c r="H76" i="23"/>
  <c r="F77" i="23"/>
  <c r="H77" i="23"/>
  <c r="F78" i="23"/>
  <c r="H78" i="23"/>
  <c r="F79" i="23"/>
  <c r="H79" i="23"/>
  <c r="F80" i="23"/>
  <c r="H80" i="23"/>
  <c r="F81" i="23"/>
  <c r="H81" i="23"/>
  <c r="F82" i="23"/>
  <c r="H82" i="23"/>
  <c r="F83" i="23"/>
  <c r="H83" i="23"/>
  <c r="F84" i="23"/>
  <c r="H84" i="23"/>
  <c r="F85" i="23"/>
  <c r="H85" i="23"/>
  <c r="F86" i="23"/>
  <c r="H86" i="23"/>
  <c r="F87" i="23"/>
  <c r="H87" i="23"/>
  <c r="F88" i="23"/>
  <c r="H88" i="23"/>
  <c r="F89" i="23"/>
  <c r="H89" i="23"/>
  <c r="F90" i="23"/>
  <c r="H90" i="23"/>
  <c r="F91" i="23"/>
  <c r="H91" i="23"/>
  <c r="F92" i="23"/>
  <c r="H92" i="23"/>
  <c r="F93" i="23"/>
  <c r="H93" i="23"/>
  <c r="F94" i="23"/>
  <c r="H94" i="23"/>
  <c r="F95" i="23"/>
  <c r="H95" i="23"/>
  <c r="F96" i="23"/>
  <c r="H96" i="23"/>
  <c r="F97" i="23"/>
  <c r="H97" i="23"/>
  <c r="F98" i="23"/>
  <c r="H98" i="23"/>
  <c r="F99" i="23"/>
  <c r="H99" i="23"/>
  <c r="F100" i="23"/>
  <c r="H100" i="23"/>
  <c r="F101" i="23"/>
  <c r="H101" i="23"/>
  <c r="F102" i="23"/>
  <c r="H102" i="23"/>
  <c r="F103" i="23"/>
  <c r="H103" i="23"/>
  <c r="F104" i="23"/>
  <c r="H104" i="23"/>
  <c r="F105" i="23"/>
  <c r="H105" i="23"/>
  <c r="F106" i="23"/>
  <c r="H106" i="23"/>
  <c r="F107" i="23"/>
  <c r="H107" i="23"/>
  <c r="F108" i="23"/>
  <c r="H108" i="23"/>
  <c r="F109" i="23"/>
  <c r="H109" i="23"/>
  <c r="F110" i="23"/>
  <c r="H110" i="23"/>
  <c r="F111" i="23"/>
  <c r="H111" i="23"/>
  <c r="F112" i="23"/>
  <c r="H112" i="23"/>
  <c r="F113" i="23"/>
  <c r="H113" i="23"/>
  <c r="F114" i="23"/>
  <c r="H114" i="23"/>
  <c r="F115" i="23"/>
  <c r="H115" i="23"/>
  <c r="F116" i="23"/>
  <c r="H116" i="23"/>
  <c r="F117" i="23"/>
  <c r="H117" i="23"/>
  <c r="F118" i="23"/>
  <c r="H118" i="23"/>
  <c r="F119" i="23"/>
  <c r="H119" i="23"/>
  <c r="F120" i="23"/>
  <c r="H120" i="23"/>
  <c r="F121" i="23"/>
  <c r="H121" i="23"/>
  <c r="F122" i="23"/>
  <c r="H122" i="23"/>
  <c r="F123" i="23"/>
  <c r="H123" i="23"/>
  <c r="F124" i="23"/>
  <c r="H124" i="23"/>
  <c r="F125" i="23"/>
  <c r="H125" i="23"/>
  <c r="F126" i="23"/>
  <c r="H126" i="23"/>
  <c r="F127" i="23"/>
  <c r="H127" i="23"/>
  <c r="F128" i="23"/>
  <c r="H128" i="23"/>
  <c r="F129" i="23"/>
  <c r="H129" i="23"/>
  <c r="F130" i="23"/>
  <c r="H130" i="23"/>
  <c r="F131" i="23"/>
  <c r="H131" i="23"/>
  <c r="F132" i="23"/>
  <c r="H132" i="23"/>
  <c r="F133" i="23"/>
  <c r="H133" i="23"/>
  <c r="F134" i="23"/>
  <c r="H134" i="23"/>
  <c r="F135" i="23"/>
  <c r="H135" i="23"/>
  <c r="F136" i="23"/>
  <c r="H136" i="23"/>
  <c r="F137" i="23"/>
  <c r="H137" i="23"/>
  <c r="F138" i="23"/>
  <c r="H138" i="23"/>
  <c r="F139" i="23"/>
  <c r="H139" i="23"/>
  <c r="F140" i="23"/>
  <c r="H140" i="23"/>
  <c r="F141" i="23"/>
  <c r="H141" i="23"/>
  <c r="F142" i="23"/>
  <c r="H142" i="23"/>
  <c r="F143" i="23"/>
  <c r="H143" i="23"/>
  <c r="F144" i="23"/>
  <c r="H144" i="23"/>
  <c r="F145" i="23"/>
  <c r="H145" i="23"/>
  <c r="F146" i="23"/>
  <c r="H146" i="23"/>
  <c r="F147" i="23"/>
  <c r="H147" i="23"/>
  <c r="F148" i="23"/>
  <c r="H148" i="23"/>
  <c r="F149" i="23"/>
  <c r="H149" i="23"/>
  <c r="F150" i="23"/>
  <c r="H150" i="23"/>
  <c r="F151" i="23"/>
  <c r="H151" i="23"/>
  <c r="H152" i="23"/>
  <c r="F153" i="23"/>
  <c r="H153" i="23"/>
  <c r="F154" i="23"/>
  <c r="H154" i="23"/>
  <c r="F155" i="23"/>
  <c r="H155" i="23"/>
  <c r="F156" i="23"/>
  <c r="H156" i="23"/>
  <c r="F157" i="23"/>
  <c r="H157" i="23"/>
  <c r="F158" i="23"/>
  <c r="H158" i="23"/>
  <c r="F159" i="23"/>
  <c r="H159" i="23"/>
  <c r="F160" i="23"/>
  <c r="H160" i="23"/>
  <c r="F161" i="23"/>
  <c r="H161" i="23"/>
  <c r="F162" i="23"/>
  <c r="H162" i="23"/>
  <c r="F163" i="23"/>
  <c r="H163" i="23"/>
  <c r="F164" i="23"/>
  <c r="H164" i="23"/>
  <c r="F165" i="23"/>
  <c r="H165" i="23"/>
  <c r="F166" i="23"/>
  <c r="H166" i="23"/>
  <c r="F167" i="23"/>
  <c r="H167" i="23"/>
  <c r="H168" i="23"/>
  <c r="F169" i="23"/>
  <c r="H169" i="23"/>
  <c r="F170" i="23"/>
  <c r="H170" i="23"/>
  <c r="F171" i="23"/>
  <c r="H171" i="23"/>
  <c r="F172" i="23"/>
  <c r="H172" i="23"/>
  <c r="F173" i="23"/>
  <c r="H173" i="23"/>
  <c r="F174" i="23"/>
  <c r="H174" i="23"/>
  <c r="F175" i="23"/>
  <c r="H175" i="23"/>
  <c r="F176" i="23"/>
  <c r="H176" i="23"/>
  <c r="F177" i="23"/>
  <c r="H177" i="23"/>
  <c r="F178" i="23"/>
  <c r="H178" i="23"/>
  <c r="F179" i="23"/>
  <c r="H179" i="23"/>
  <c r="F180" i="23"/>
  <c r="H180" i="23"/>
  <c r="F181" i="23"/>
  <c r="H181" i="23"/>
  <c r="F182" i="23"/>
  <c r="H182" i="23"/>
  <c r="F183" i="23"/>
  <c r="H183" i="23"/>
  <c r="F184" i="23"/>
  <c r="H184" i="23"/>
  <c r="F185" i="23"/>
  <c r="H185" i="23"/>
  <c r="F186" i="23"/>
  <c r="H186" i="23"/>
  <c r="F187" i="23"/>
  <c r="H187" i="23"/>
  <c r="F188" i="23"/>
  <c r="H188" i="23"/>
  <c r="F189" i="23"/>
  <c r="H189" i="23"/>
  <c r="F190" i="23"/>
  <c r="H190" i="23"/>
  <c r="H192" i="23"/>
  <c r="H193" i="23"/>
  <c r="H194" i="23"/>
  <c r="F195" i="23"/>
  <c r="H195" i="23"/>
  <c r="F196" i="23"/>
  <c r="H196" i="23"/>
  <c r="F197" i="23"/>
  <c r="H197" i="23"/>
  <c r="F198" i="23"/>
  <c r="H198" i="23"/>
  <c r="H199" i="23"/>
  <c r="F200" i="23"/>
  <c r="H200" i="23"/>
  <c r="F201" i="23"/>
  <c r="H201" i="23"/>
  <c r="F202" i="23"/>
  <c r="H202" i="23"/>
  <c r="F203" i="23"/>
  <c r="H203" i="23"/>
  <c r="H204" i="23"/>
  <c r="F205" i="23"/>
  <c r="H205" i="23"/>
  <c r="F206" i="23"/>
  <c r="H206" i="23"/>
  <c r="F207" i="23"/>
  <c r="H207" i="23"/>
  <c r="F208" i="23"/>
  <c r="H208" i="23"/>
  <c r="F209" i="23"/>
  <c r="H209" i="23"/>
  <c r="F210" i="23"/>
  <c r="H210" i="23"/>
  <c r="F211" i="23"/>
  <c r="H211" i="23"/>
  <c r="F212" i="23"/>
  <c r="H212" i="23"/>
  <c r="F213" i="23"/>
  <c r="H213" i="23"/>
  <c r="F214" i="23"/>
  <c r="H214" i="23"/>
  <c r="F215" i="23"/>
  <c r="H215" i="23"/>
  <c r="F216" i="23"/>
  <c r="H216" i="23"/>
  <c r="F217" i="23"/>
  <c r="H217" i="23"/>
  <c r="F218" i="23"/>
  <c r="H218" i="23"/>
  <c r="F219" i="23"/>
  <c r="H219" i="23"/>
  <c r="F220" i="23"/>
  <c r="H220" i="23"/>
  <c r="F221" i="23"/>
  <c r="H221" i="23"/>
  <c r="F222" i="23"/>
  <c r="H222" i="23"/>
  <c r="F223" i="23"/>
  <c r="H223" i="23"/>
  <c r="F224" i="23"/>
  <c r="H224" i="23"/>
  <c r="F225" i="23"/>
  <c r="H225" i="23"/>
  <c r="F226" i="23"/>
  <c r="H226" i="23"/>
  <c r="F227" i="23"/>
  <c r="H227" i="23"/>
  <c r="F229" i="23"/>
  <c r="H229" i="23"/>
  <c r="F230" i="23"/>
  <c r="H230" i="23"/>
  <c r="F231" i="23"/>
  <c r="H231" i="23"/>
  <c r="F232" i="23"/>
  <c r="H232" i="23"/>
  <c r="F233" i="23"/>
  <c r="H233" i="23"/>
  <c r="F234" i="23"/>
  <c r="H234" i="23"/>
  <c r="F235" i="23"/>
  <c r="H235" i="23"/>
  <c r="F236" i="23"/>
  <c r="H236" i="23"/>
  <c r="F237" i="23"/>
  <c r="H237" i="23"/>
  <c r="F238" i="23"/>
  <c r="H238" i="23"/>
  <c r="F239" i="23"/>
  <c r="H239" i="23"/>
  <c r="F240" i="23"/>
  <c r="H240" i="23"/>
  <c r="F241" i="23"/>
  <c r="H241" i="23"/>
  <c r="F242" i="23"/>
  <c r="H242" i="23"/>
  <c r="F243" i="23"/>
  <c r="H243" i="23"/>
  <c r="F244" i="23"/>
  <c r="H244" i="23"/>
  <c r="F245" i="23"/>
  <c r="H245" i="23"/>
  <c r="F246" i="23"/>
  <c r="H246" i="23"/>
  <c r="F247" i="23"/>
  <c r="H247" i="23"/>
  <c r="F248" i="23"/>
  <c r="H248" i="23"/>
  <c r="F249" i="23"/>
  <c r="H249" i="23"/>
  <c r="F250" i="23"/>
  <c r="H250" i="23"/>
  <c r="F251" i="23"/>
  <c r="H251" i="23"/>
  <c r="F252" i="23"/>
  <c r="H252" i="23"/>
  <c r="F253" i="23"/>
  <c r="H253" i="23"/>
  <c r="F254" i="23"/>
  <c r="H254" i="23"/>
  <c r="F255" i="23"/>
  <c r="H255" i="23"/>
  <c r="F256" i="23"/>
  <c r="H256" i="23"/>
  <c r="H257" i="23"/>
  <c r="F258" i="23"/>
  <c r="H258" i="23"/>
  <c r="F260" i="23"/>
  <c r="H260" i="23"/>
  <c r="F261" i="23"/>
  <c r="H261" i="23"/>
  <c r="F262" i="23"/>
  <c r="H262" i="23"/>
  <c r="F263" i="23"/>
  <c r="H263" i="23"/>
  <c r="F264" i="23"/>
  <c r="H264" i="23"/>
  <c r="F265" i="23"/>
  <c r="H265" i="23"/>
  <c r="F266" i="23"/>
  <c r="H266" i="23"/>
  <c r="F267" i="23"/>
  <c r="H267" i="23"/>
  <c r="F268" i="23"/>
  <c r="H268" i="23"/>
  <c r="F269" i="23"/>
  <c r="H269" i="23"/>
  <c r="F271" i="23"/>
  <c r="H271" i="23"/>
  <c r="F272" i="23"/>
  <c r="H272" i="23"/>
  <c r="F273" i="23"/>
  <c r="H273" i="23"/>
  <c r="F274" i="23"/>
  <c r="H274" i="23"/>
  <c r="F275" i="23"/>
  <c r="H275" i="23"/>
  <c r="F276" i="23"/>
  <c r="H276" i="23"/>
  <c r="F277" i="23"/>
  <c r="H277" i="23"/>
  <c r="F278" i="23"/>
  <c r="H278" i="23"/>
  <c r="F279" i="23"/>
  <c r="H279" i="23"/>
  <c r="F280" i="23"/>
  <c r="H280" i="23"/>
  <c r="F281" i="23"/>
  <c r="H281" i="23"/>
  <c r="F282" i="23"/>
  <c r="H282" i="23"/>
  <c r="F283" i="23"/>
  <c r="H283" i="23"/>
  <c r="F284" i="23"/>
  <c r="H284" i="23"/>
  <c r="F285" i="23"/>
  <c r="H285" i="23"/>
  <c r="F286" i="23"/>
  <c r="H286" i="23"/>
  <c r="F287" i="23"/>
  <c r="H287" i="23"/>
  <c r="F288" i="23"/>
  <c r="H288" i="23"/>
  <c r="F289" i="23"/>
  <c r="H289" i="23"/>
  <c r="F290" i="23"/>
  <c r="H290" i="23"/>
  <c r="F291" i="23"/>
  <c r="H291" i="23"/>
  <c r="F292" i="23"/>
  <c r="H292" i="23"/>
  <c r="F293" i="23"/>
  <c r="H293" i="23"/>
  <c r="F294" i="23"/>
  <c r="H294" i="23"/>
  <c r="F295" i="23"/>
  <c r="H295" i="23"/>
  <c r="F296" i="23"/>
  <c r="H296" i="23"/>
  <c r="F297" i="23"/>
  <c r="H297" i="23"/>
  <c r="F298" i="23"/>
  <c r="H298" i="23"/>
  <c r="F299" i="23"/>
  <c r="H299" i="23"/>
  <c r="F300" i="23"/>
  <c r="H300" i="23"/>
  <c r="F301" i="23"/>
  <c r="H301" i="23"/>
  <c r="F302" i="23"/>
  <c r="H302" i="23"/>
  <c r="F303" i="23"/>
  <c r="H303" i="23"/>
  <c r="F304" i="23"/>
  <c r="H304" i="23"/>
  <c r="F305" i="23"/>
  <c r="H305" i="23"/>
  <c r="F306" i="23"/>
  <c r="H306" i="23"/>
  <c r="F307" i="23"/>
  <c r="H307" i="23"/>
  <c r="F308" i="23"/>
  <c r="H308" i="23"/>
  <c r="F309" i="23"/>
  <c r="H309" i="23"/>
  <c r="F310" i="23"/>
  <c r="H310" i="23"/>
  <c r="F311" i="23"/>
  <c r="H311" i="23"/>
  <c r="F312" i="23"/>
  <c r="H312" i="23"/>
  <c r="F313" i="23"/>
  <c r="H313" i="23"/>
  <c r="F315" i="23"/>
  <c r="H315" i="23"/>
  <c r="F317" i="23"/>
  <c r="H317" i="23"/>
  <c r="F318" i="23"/>
  <c r="H318" i="23"/>
  <c r="F319" i="23"/>
  <c r="H319" i="23"/>
  <c r="F320" i="23"/>
  <c r="H320" i="23"/>
  <c r="F321" i="23"/>
  <c r="H321" i="23"/>
  <c r="F322" i="23"/>
  <c r="H322" i="23"/>
  <c r="F324" i="23"/>
  <c r="H324" i="23"/>
  <c r="F325" i="23"/>
  <c r="H325" i="23"/>
  <c r="F326" i="23"/>
  <c r="H326" i="23"/>
  <c r="F327" i="23"/>
  <c r="H327" i="23"/>
  <c r="F328" i="23"/>
  <c r="H328" i="23"/>
  <c r="F329" i="23"/>
  <c r="H329" i="23"/>
  <c r="F330" i="23"/>
  <c r="H330" i="23"/>
  <c r="F331" i="23"/>
  <c r="H331" i="23"/>
  <c r="F332" i="23"/>
  <c r="H332" i="23"/>
  <c r="F333" i="23"/>
  <c r="H333" i="23"/>
  <c r="F334" i="23"/>
  <c r="H334" i="23"/>
  <c r="F335" i="23"/>
  <c r="H335" i="23"/>
  <c r="F336" i="23"/>
  <c r="H336" i="23"/>
  <c r="F337" i="23"/>
  <c r="H337" i="23"/>
  <c r="F338" i="23"/>
  <c r="H338" i="23"/>
  <c r="F339" i="23"/>
  <c r="H339" i="23"/>
  <c r="F340" i="23"/>
  <c r="H340" i="23"/>
  <c r="F341" i="23"/>
  <c r="H341" i="23"/>
  <c r="F342" i="23"/>
  <c r="H342" i="23"/>
  <c r="F343" i="23"/>
  <c r="H343" i="23"/>
  <c r="F344" i="23"/>
  <c r="H344" i="23"/>
  <c r="F345" i="23"/>
  <c r="H345" i="23"/>
  <c r="F346" i="23"/>
  <c r="H346" i="23"/>
  <c r="F347" i="23"/>
  <c r="H347" i="23"/>
  <c r="F348" i="23"/>
  <c r="H348" i="23"/>
  <c r="F349" i="23"/>
  <c r="H349" i="23"/>
  <c r="F350" i="23"/>
  <c r="H350" i="23"/>
  <c r="F351" i="23"/>
  <c r="H351" i="23"/>
  <c r="F352" i="23"/>
  <c r="H352" i="23"/>
  <c r="F353" i="23"/>
  <c r="H353" i="23"/>
  <c r="F354" i="23"/>
  <c r="H354" i="23"/>
  <c r="F355" i="23"/>
  <c r="H355" i="23"/>
  <c r="F356" i="23"/>
  <c r="H356" i="23"/>
  <c r="F357" i="23"/>
  <c r="H357" i="23"/>
  <c r="F358" i="23"/>
  <c r="H358" i="23"/>
  <c r="F359" i="23"/>
  <c r="H359" i="23"/>
  <c r="F360" i="23"/>
  <c r="H360" i="23"/>
  <c r="F361" i="23"/>
  <c r="H361" i="23"/>
  <c r="F362" i="23"/>
  <c r="H362" i="23"/>
  <c r="F363" i="23"/>
  <c r="H363" i="23"/>
  <c r="F364" i="23"/>
  <c r="H364" i="23"/>
  <c r="F365" i="23"/>
  <c r="H365" i="23"/>
  <c r="F366" i="23"/>
  <c r="H366" i="23"/>
  <c r="F367" i="23"/>
  <c r="H367" i="23"/>
  <c r="F368" i="23"/>
  <c r="H368" i="23"/>
  <c r="F369" i="23"/>
  <c r="H369" i="23"/>
  <c r="F370" i="23"/>
  <c r="H370" i="23"/>
  <c r="F371" i="23"/>
  <c r="H371" i="23"/>
  <c r="F372" i="23"/>
  <c r="H372" i="23"/>
  <c r="F373" i="23"/>
  <c r="H373" i="23"/>
  <c r="F374" i="23"/>
  <c r="H374" i="23"/>
  <c r="F375" i="23"/>
  <c r="H375" i="23"/>
  <c r="F376" i="23"/>
  <c r="H376" i="23"/>
  <c r="F377" i="23"/>
  <c r="H377" i="23"/>
  <c r="F378" i="23"/>
  <c r="H378" i="23"/>
  <c r="F379" i="23"/>
  <c r="H379" i="23"/>
  <c r="F380" i="23"/>
  <c r="H380" i="23"/>
  <c r="F381" i="23"/>
  <c r="H381" i="23"/>
  <c r="F382" i="23"/>
  <c r="H382" i="23"/>
  <c r="F383" i="23"/>
  <c r="H383" i="23"/>
  <c r="F384" i="23"/>
  <c r="H384" i="23"/>
  <c r="F385" i="23"/>
  <c r="H385" i="23"/>
  <c r="F386" i="23"/>
  <c r="H386" i="23"/>
  <c r="F387" i="23"/>
  <c r="H387" i="23"/>
  <c r="F388" i="23"/>
  <c r="H388" i="23"/>
  <c r="F389" i="23"/>
  <c r="H389" i="23"/>
  <c r="F390" i="23"/>
  <c r="H390" i="23"/>
  <c r="F391" i="23"/>
  <c r="H391" i="23"/>
  <c r="F392" i="23"/>
  <c r="H392" i="23"/>
  <c r="F393" i="23"/>
  <c r="H393" i="23"/>
  <c r="F394" i="23"/>
  <c r="H394" i="23"/>
  <c r="F395" i="23"/>
  <c r="H395" i="23"/>
  <c r="F396" i="23"/>
  <c r="H396" i="23"/>
  <c r="F397" i="23"/>
  <c r="H397" i="23"/>
  <c r="F398" i="23"/>
  <c r="H398" i="23"/>
  <c r="F399" i="23"/>
  <c r="H399" i="23"/>
  <c r="F400" i="23"/>
  <c r="H400" i="23"/>
  <c r="F401" i="23"/>
  <c r="H401" i="23"/>
  <c r="F402" i="23"/>
  <c r="H402" i="23"/>
  <c r="F403" i="23"/>
  <c r="H403" i="23"/>
  <c r="F404" i="23"/>
  <c r="H404" i="23"/>
  <c r="F405" i="23"/>
  <c r="H405" i="23"/>
  <c r="F406" i="23"/>
  <c r="H406" i="23"/>
  <c r="F407" i="23"/>
  <c r="H407" i="23"/>
  <c r="F408" i="23"/>
  <c r="H408" i="23"/>
  <c r="F409" i="23"/>
  <c r="H409" i="23"/>
  <c r="F410" i="23"/>
  <c r="H410" i="23"/>
  <c r="F411" i="23"/>
  <c r="H411" i="23"/>
  <c r="F412" i="23"/>
  <c r="H412" i="23"/>
  <c r="F413" i="23"/>
  <c r="H413" i="23"/>
  <c r="F414" i="23"/>
  <c r="H414" i="23"/>
  <c r="F415" i="23"/>
  <c r="H415" i="23"/>
  <c r="F416" i="23"/>
  <c r="H416" i="23"/>
  <c r="F417" i="23"/>
  <c r="H417" i="23"/>
  <c r="F418" i="23"/>
  <c r="H418" i="23"/>
  <c r="F419" i="23"/>
  <c r="H419" i="23"/>
  <c r="F420" i="23"/>
  <c r="F421" i="23"/>
  <c r="H421" i="23"/>
  <c r="F422" i="23"/>
  <c r="H422" i="23"/>
  <c r="F423" i="23"/>
  <c r="H423" i="23"/>
  <c r="F424" i="23"/>
  <c r="H424" i="23"/>
  <c r="F425" i="23"/>
  <c r="H425" i="23"/>
  <c r="F426" i="23"/>
  <c r="H426" i="23"/>
  <c r="F427" i="23"/>
  <c r="H427" i="23"/>
  <c r="F428" i="23"/>
  <c r="H428" i="23"/>
  <c r="F429" i="23"/>
  <c r="H429" i="23"/>
  <c r="F430" i="23"/>
  <c r="H430" i="23"/>
  <c r="F431" i="23"/>
  <c r="H431" i="23"/>
  <c r="F432" i="23"/>
  <c r="H432" i="23"/>
  <c r="F433" i="23"/>
  <c r="H433" i="23"/>
  <c r="F434" i="23"/>
  <c r="H434" i="23"/>
  <c r="F435" i="23"/>
  <c r="H435" i="23"/>
  <c r="F436" i="23"/>
  <c r="H436" i="23"/>
  <c r="F437" i="23"/>
  <c r="H437" i="23"/>
  <c r="F438" i="23"/>
  <c r="H438" i="23"/>
  <c r="F439" i="23"/>
  <c r="H439" i="23"/>
  <c r="F440" i="23"/>
  <c r="H440" i="23"/>
  <c r="F441" i="23"/>
  <c r="H441" i="23"/>
  <c r="F442" i="23"/>
  <c r="H442" i="23"/>
  <c r="F443" i="23"/>
  <c r="H443" i="23"/>
  <c r="F444" i="23"/>
  <c r="H444" i="23"/>
  <c r="F445" i="23"/>
  <c r="H445" i="23"/>
  <c r="F446" i="23"/>
  <c r="H446" i="23"/>
  <c r="F447" i="23"/>
  <c r="H447" i="23"/>
  <c r="F448" i="23"/>
  <c r="H448" i="23"/>
  <c r="F449" i="23"/>
  <c r="H449" i="23"/>
  <c r="F450" i="23"/>
  <c r="H450" i="23"/>
  <c r="F451" i="23"/>
  <c r="H451" i="23"/>
  <c r="F452" i="23"/>
  <c r="H452" i="23"/>
  <c r="F453" i="23"/>
  <c r="H453" i="23"/>
  <c r="F454" i="23"/>
  <c r="H454" i="23"/>
  <c r="F455" i="23"/>
  <c r="H455" i="23"/>
  <c r="F456" i="23"/>
  <c r="H456" i="23"/>
  <c r="F457" i="23"/>
  <c r="H457" i="23"/>
  <c r="F458" i="23"/>
  <c r="H458" i="23"/>
  <c r="F459" i="23"/>
  <c r="H459" i="23"/>
  <c r="F460" i="23"/>
  <c r="H460" i="23"/>
  <c r="F461" i="23"/>
  <c r="H461" i="23"/>
  <c r="F462" i="23"/>
  <c r="H462" i="23"/>
  <c r="F463" i="23"/>
  <c r="H463" i="23"/>
  <c r="F464" i="23"/>
  <c r="H464" i="23"/>
  <c r="F465" i="23"/>
  <c r="H465" i="23"/>
  <c r="F466" i="23"/>
  <c r="H466" i="23"/>
  <c r="F467" i="23"/>
  <c r="H467" i="23"/>
  <c r="F468" i="23"/>
  <c r="H468" i="23"/>
  <c r="F469" i="23"/>
  <c r="H469" i="23"/>
  <c r="F470" i="23"/>
  <c r="H470" i="23"/>
  <c r="F471" i="23"/>
  <c r="H471" i="23"/>
  <c r="F472" i="23"/>
  <c r="H472" i="23"/>
  <c r="F473" i="23"/>
  <c r="H473" i="23"/>
  <c r="F474" i="23"/>
  <c r="H474" i="23"/>
  <c r="F475" i="23"/>
  <c r="H475" i="23"/>
  <c r="F476" i="23"/>
  <c r="H476" i="23"/>
  <c r="F477" i="23"/>
  <c r="H477" i="23"/>
  <c r="F478" i="23"/>
  <c r="H478" i="23"/>
  <c r="F479" i="23"/>
  <c r="H479" i="23"/>
  <c r="F480" i="23"/>
  <c r="H480" i="23"/>
  <c r="F481" i="23"/>
  <c r="H481" i="23"/>
  <c r="F482" i="23"/>
  <c r="H482" i="23"/>
  <c r="F483" i="23"/>
  <c r="H483" i="23"/>
  <c r="H484" i="23"/>
  <c r="F485" i="23"/>
  <c r="H485" i="23"/>
  <c r="F486" i="23"/>
  <c r="H486" i="23"/>
  <c r="H487" i="23"/>
  <c r="F488" i="23"/>
  <c r="H488" i="23"/>
  <c r="H489" i="23"/>
  <c r="F490" i="23"/>
  <c r="H490" i="23"/>
  <c r="F491" i="23"/>
  <c r="H491" i="23"/>
  <c r="H492" i="23"/>
  <c r="F493" i="23"/>
  <c r="H493" i="23"/>
  <c r="H494" i="23"/>
  <c r="F495" i="23"/>
  <c r="H495" i="23"/>
  <c r="F496" i="23"/>
  <c r="H496" i="23"/>
  <c r="F497" i="23"/>
  <c r="H497" i="23"/>
  <c r="F498" i="23"/>
  <c r="H498" i="23"/>
  <c r="F499" i="23"/>
  <c r="H499" i="23"/>
  <c r="F500" i="23"/>
  <c r="H500" i="23"/>
  <c r="F501" i="23"/>
  <c r="H501" i="23"/>
  <c r="F502" i="23"/>
  <c r="H502" i="23"/>
  <c r="F503" i="23"/>
  <c r="H503" i="23"/>
  <c r="F504" i="23"/>
  <c r="H504" i="23"/>
  <c r="F505" i="23"/>
  <c r="H505" i="23"/>
  <c r="F506" i="23"/>
  <c r="H506" i="23"/>
  <c r="F507" i="23"/>
  <c r="H507" i="23"/>
  <c r="F508" i="23"/>
  <c r="H508" i="23"/>
  <c r="F509" i="23"/>
  <c r="H509" i="23"/>
  <c r="F510" i="23"/>
  <c r="H510" i="23"/>
  <c r="F511" i="23"/>
  <c r="H511" i="23"/>
  <c r="F512" i="23"/>
  <c r="H512" i="23"/>
  <c r="F513" i="23"/>
  <c r="H513" i="23"/>
  <c r="F514" i="23"/>
  <c r="H514" i="23"/>
  <c r="F515" i="23"/>
  <c r="H515" i="23"/>
  <c r="F516" i="23"/>
  <c r="H516" i="23"/>
  <c r="F517" i="23"/>
  <c r="H517" i="23"/>
  <c r="F518" i="23"/>
  <c r="H518" i="23"/>
  <c r="F519" i="23"/>
  <c r="H519" i="23"/>
  <c r="F520" i="23"/>
  <c r="H520" i="23"/>
  <c r="F521" i="23"/>
  <c r="H521" i="23"/>
  <c r="F522" i="23"/>
  <c r="H522" i="23"/>
  <c r="F523" i="23"/>
  <c r="H523" i="23"/>
  <c r="F524" i="23"/>
  <c r="H524" i="23"/>
  <c r="F525" i="23"/>
  <c r="H525" i="23"/>
  <c r="F526" i="23"/>
  <c r="H526" i="23"/>
  <c r="F527" i="23"/>
  <c r="H527" i="23"/>
  <c r="F528" i="23"/>
  <c r="H528" i="23"/>
  <c r="F529" i="23"/>
  <c r="H529" i="23"/>
  <c r="F530" i="23"/>
  <c r="H530" i="23"/>
  <c r="F531" i="23"/>
  <c r="H531" i="23"/>
  <c r="F532" i="23"/>
  <c r="H532" i="23"/>
  <c r="F533" i="23"/>
  <c r="H533" i="23"/>
  <c r="F534" i="23"/>
  <c r="H534" i="23"/>
  <c r="F535" i="23"/>
  <c r="H535" i="23"/>
  <c r="F536" i="23"/>
  <c r="H536" i="23"/>
  <c r="F537" i="23"/>
  <c r="H537" i="23"/>
  <c r="F538" i="23"/>
  <c r="H538" i="23"/>
  <c r="F539" i="23"/>
  <c r="H539" i="23"/>
  <c r="F540" i="23"/>
  <c r="H540" i="23"/>
  <c r="F541" i="23"/>
  <c r="H541" i="23"/>
  <c r="F542" i="23"/>
  <c r="H542" i="23"/>
  <c r="H543" i="23"/>
  <c r="F544" i="23"/>
  <c r="H544" i="23"/>
  <c r="F545" i="23"/>
  <c r="H545" i="23"/>
  <c r="F546" i="23"/>
  <c r="H546" i="23"/>
  <c r="F547" i="23"/>
  <c r="H547" i="23"/>
  <c r="F548" i="23"/>
  <c r="H548" i="23"/>
  <c r="F549" i="23"/>
  <c r="H549" i="23"/>
  <c r="F550" i="23"/>
  <c r="H550" i="23"/>
  <c r="F551" i="23"/>
  <c r="H551" i="23"/>
  <c r="F552" i="23"/>
  <c r="H552" i="23"/>
  <c r="F553" i="23"/>
  <c r="H553" i="23"/>
  <c r="F554" i="23"/>
  <c r="H554" i="23"/>
  <c r="F555" i="23"/>
  <c r="H555" i="23"/>
  <c r="F556" i="23"/>
  <c r="H556" i="23"/>
  <c r="F557" i="23"/>
  <c r="H557" i="23"/>
  <c r="F558" i="23"/>
  <c r="H558" i="23"/>
  <c r="F559" i="23"/>
  <c r="H559" i="23"/>
  <c r="F560" i="23"/>
  <c r="H560" i="23"/>
  <c r="F561" i="23"/>
  <c r="H561" i="23"/>
  <c r="F562" i="23"/>
  <c r="H562" i="23"/>
  <c r="F563" i="23"/>
  <c r="H563" i="23"/>
  <c r="F564" i="23"/>
  <c r="H564" i="23"/>
  <c r="F565" i="23"/>
  <c r="H565" i="23"/>
  <c r="F566" i="23"/>
  <c r="H566" i="23"/>
  <c r="F567" i="23"/>
  <c r="H567" i="23"/>
  <c r="F568" i="23"/>
  <c r="H568" i="23"/>
  <c r="F569" i="23"/>
  <c r="H569" i="23"/>
  <c r="F570" i="23"/>
  <c r="H570" i="23"/>
  <c r="F571" i="23"/>
  <c r="H571" i="23"/>
  <c r="F572" i="23"/>
  <c r="H572" i="23"/>
  <c r="F573" i="23"/>
  <c r="H573" i="23"/>
  <c r="F574" i="23"/>
  <c r="H574" i="23"/>
  <c r="F575" i="23"/>
  <c r="H575" i="23"/>
  <c r="F576" i="23"/>
  <c r="H576" i="23"/>
  <c r="F577" i="23"/>
  <c r="H577" i="23"/>
  <c r="F578" i="23"/>
  <c r="H578" i="23"/>
  <c r="H579" i="23"/>
  <c r="F580" i="23"/>
  <c r="H580" i="23"/>
  <c r="F581" i="23"/>
  <c r="H581" i="23"/>
  <c r="F582" i="23"/>
  <c r="H582" i="23"/>
  <c r="H583" i="23"/>
  <c r="H584" i="23"/>
  <c r="H585" i="23"/>
  <c r="F586" i="23"/>
  <c r="H586" i="23"/>
  <c r="F587" i="23"/>
  <c r="H587" i="23"/>
  <c r="F588" i="23"/>
  <c r="H588" i="23"/>
  <c r="F589" i="23"/>
  <c r="H589" i="23"/>
  <c r="F590" i="23"/>
  <c r="H590" i="23"/>
  <c r="F591" i="23"/>
  <c r="H591" i="23"/>
  <c r="H592" i="23"/>
  <c r="F593" i="23"/>
  <c r="H593" i="23"/>
  <c r="F594" i="23"/>
  <c r="H594" i="23"/>
  <c r="F595" i="23"/>
  <c r="H595" i="23"/>
  <c r="F596" i="23"/>
  <c r="H596" i="23"/>
  <c r="F597" i="23"/>
  <c r="H597" i="23"/>
  <c r="F598" i="23"/>
  <c r="H598" i="23"/>
  <c r="F599" i="23"/>
  <c r="H599" i="23"/>
  <c r="F600" i="23"/>
  <c r="H600" i="23"/>
  <c r="F601" i="23"/>
  <c r="H601" i="23"/>
  <c r="H602" i="23"/>
  <c r="F603" i="23"/>
  <c r="H603" i="23"/>
  <c r="F604" i="23"/>
  <c r="H604" i="23"/>
  <c r="F605" i="23"/>
  <c r="H605" i="23"/>
  <c r="F606" i="23"/>
  <c r="H606" i="23"/>
  <c r="F607" i="23"/>
  <c r="H607" i="23"/>
  <c r="F608" i="23"/>
  <c r="H608" i="23"/>
  <c r="F609" i="23"/>
  <c r="H609" i="23"/>
  <c r="F610" i="23"/>
  <c r="H610" i="23"/>
  <c r="F611" i="23"/>
  <c r="H611" i="23"/>
  <c r="F612" i="23"/>
  <c r="H612" i="23"/>
  <c r="F613" i="23"/>
  <c r="H613" i="23"/>
  <c r="F614" i="23"/>
  <c r="H614" i="23"/>
  <c r="F615" i="23"/>
  <c r="H615" i="23"/>
  <c r="F616" i="23"/>
  <c r="H616" i="23"/>
  <c r="F617" i="23"/>
  <c r="H617" i="23"/>
  <c r="F618" i="23"/>
  <c r="H618" i="23"/>
  <c r="F619" i="23"/>
  <c r="H619" i="23"/>
  <c r="F620" i="23"/>
  <c r="H620" i="23"/>
  <c r="F621" i="23"/>
  <c r="H621" i="23"/>
  <c r="F622" i="23"/>
  <c r="H622" i="23"/>
  <c r="F623" i="23"/>
  <c r="H623" i="23"/>
  <c r="F624" i="23"/>
  <c r="H624" i="23"/>
  <c r="F625" i="23"/>
  <c r="H625" i="23"/>
  <c r="F626" i="23"/>
  <c r="H626" i="23"/>
  <c r="F627" i="23"/>
  <c r="H627" i="23"/>
  <c r="F628" i="23"/>
  <c r="H628" i="23"/>
  <c r="F629" i="23"/>
  <c r="H629" i="23"/>
  <c r="F630" i="23"/>
  <c r="H630" i="23"/>
  <c r="F631" i="23"/>
  <c r="H631" i="23"/>
  <c r="F632" i="23"/>
  <c r="H632" i="23"/>
  <c r="F633" i="23"/>
  <c r="H633" i="23"/>
  <c r="F634" i="23"/>
  <c r="H634" i="23"/>
  <c r="F635" i="23"/>
  <c r="H635" i="23"/>
  <c r="F636" i="23"/>
  <c r="H636" i="23"/>
  <c r="F637" i="23"/>
  <c r="H637" i="23"/>
  <c r="F638" i="23"/>
  <c r="H638" i="23"/>
  <c r="F639" i="23"/>
  <c r="H639" i="23"/>
  <c r="F640" i="23"/>
  <c r="H640" i="23"/>
  <c r="F641" i="23"/>
  <c r="H641" i="23"/>
  <c r="F642" i="23"/>
  <c r="H642" i="23"/>
  <c r="F643" i="23"/>
  <c r="H643" i="23"/>
  <c r="F644" i="23"/>
  <c r="H644" i="23"/>
  <c r="F645" i="23"/>
  <c r="H645" i="23"/>
  <c r="F646" i="23"/>
  <c r="H646" i="23"/>
  <c r="F647" i="23"/>
  <c r="H647" i="23"/>
  <c r="F648" i="23"/>
  <c r="H648" i="23"/>
  <c r="F649" i="23"/>
  <c r="H649" i="23"/>
  <c r="F650" i="23"/>
  <c r="H650" i="23"/>
  <c r="F651" i="23"/>
  <c r="H651" i="23"/>
  <c r="F652" i="23"/>
  <c r="H652" i="23"/>
  <c r="F653" i="23"/>
  <c r="H653" i="23"/>
  <c r="F654" i="23"/>
  <c r="H654" i="23"/>
  <c r="F655" i="23"/>
  <c r="H655" i="23"/>
  <c r="F656" i="23"/>
  <c r="H656" i="23"/>
  <c r="F657" i="23"/>
  <c r="H657" i="23"/>
  <c r="F658" i="23"/>
  <c r="H658" i="23"/>
  <c r="F659" i="23"/>
  <c r="H659" i="23"/>
  <c r="F660" i="23"/>
  <c r="H660" i="23"/>
  <c r="F661" i="23"/>
  <c r="H661" i="23"/>
  <c r="F662" i="23"/>
  <c r="H662" i="23"/>
  <c r="F663" i="23"/>
  <c r="H663" i="23"/>
  <c r="F664" i="23"/>
  <c r="H664" i="23"/>
  <c r="F665" i="23"/>
  <c r="H665" i="23"/>
  <c r="F666" i="23"/>
  <c r="H666" i="23"/>
  <c r="F667" i="23"/>
  <c r="H667" i="23"/>
  <c r="F668" i="23"/>
  <c r="H668" i="23"/>
  <c r="F669" i="23"/>
  <c r="H669" i="23"/>
  <c r="F670" i="23"/>
  <c r="H670" i="23"/>
  <c r="F671" i="23"/>
  <c r="H671" i="23"/>
  <c r="F672" i="23"/>
  <c r="H672" i="23"/>
  <c r="F673" i="23"/>
  <c r="H673" i="23"/>
  <c r="F674" i="23"/>
  <c r="H674" i="23"/>
  <c r="F675" i="23"/>
  <c r="H675" i="23"/>
  <c r="F676" i="23"/>
  <c r="H676" i="23"/>
  <c r="F677" i="23"/>
  <c r="H677" i="23"/>
  <c r="F678" i="23"/>
  <c r="H678" i="23"/>
  <c r="F679" i="23"/>
  <c r="H679" i="23"/>
  <c r="F680" i="23"/>
  <c r="H680" i="23"/>
  <c r="F681" i="23"/>
  <c r="H681" i="23"/>
  <c r="F682" i="23"/>
  <c r="H682" i="23"/>
  <c r="F683" i="23"/>
  <c r="H683" i="23"/>
  <c r="F684" i="23"/>
  <c r="H684" i="23"/>
  <c r="F685" i="23"/>
  <c r="H685" i="23"/>
  <c r="F686" i="23"/>
  <c r="H686" i="23"/>
  <c r="F687" i="23"/>
  <c r="H687" i="23"/>
  <c r="F688" i="23"/>
  <c r="H688" i="23"/>
  <c r="F689" i="23"/>
  <c r="H689" i="23"/>
  <c r="F690" i="23"/>
  <c r="H690" i="23"/>
  <c r="F691" i="23"/>
  <c r="H691" i="23"/>
  <c r="F692" i="23"/>
  <c r="H692" i="23"/>
  <c r="F693" i="23"/>
  <c r="H693" i="23"/>
  <c r="F694" i="23"/>
  <c r="H694" i="23"/>
  <c r="F695" i="23"/>
  <c r="H695" i="23"/>
  <c r="F696" i="23"/>
  <c r="H696" i="23"/>
  <c r="F697" i="23"/>
  <c r="H697" i="23"/>
  <c r="F698" i="23"/>
  <c r="H698" i="23"/>
  <c r="F699" i="23"/>
  <c r="H699" i="23"/>
  <c r="F700" i="23"/>
  <c r="H700" i="23"/>
  <c r="F701" i="23"/>
  <c r="H701" i="23"/>
  <c r="F702" i="23"/>
  <c r="H702" i="23"/>
  <c r="F703" i="23"/>
  <c r="H703" i="23"/>
  <c r="F704" i="23"/>
  <c r="H704" i="23"/>
  <c r="F705" i="23"/>
  <c r="H705" i="23"/>
  <c r="F706" i="23"/>
  <c r="H706" i="23"/>
  <c r="F707" i="23"/>
  <c r="H707" i="23"/>
  <c r="F708" i="23"/>
  <c r="H708" i="23"/>
  <c r="F709" i="23"/>
  <c r="H709" i="23"/>
  <c r="F710" i="23"/>
  <c r="H710" i="23"/>
  <c r="F711" i="23"/>
  <c r="H711" i="23"/>
  <c r="F712" i="23"/>
  <c r="H712" i="23"/>
  <c r="F713" i="23"/>
  <c r="H713" i="23"/>
  <c r="F714" i="23"/>
  <c r="H714" i="23"/>
  <c r="F715" i="23"/>
  <c r="H715" i="23"/>
  <c r="F716" i="23"/>
  <c r="H716" i="23"/>
  <c r="F717" i="23"/>
  <c r="H717" i="23"/>
  <c r="F718" i="23"/>
  <c r="H718" i="23"/>
  <c r="F719" i="23"/>
  <c r="H719" i="23"/>
  <c r="F720" i="23"/>
  <c r="H720" i="23"/>
  <c r="F721" i="23"/>
  <c r="H721" i="23"/>
  <c r="F722" i="23"/>
  <c r="H722" i="23"/>
  <c r="F723" i="23"/>
  <c r="H723" i="23"/>
  <c r="F724" i="23"/>
  <c r="H724" i="23"/>
  <c r="F725" i="23"/>
  <c r="H725" i="23"/>
  <c r="F726" i="23"/>
  <c r="H726" i="23"/>
  <c r="H727" i="23"/>
  <c r="F728" i="23"/>
  <c r="H728" i="23"/>
  <c r="F729" i="23"/>
  <c r="H729" i="23"/>
  <c r="F730" i="23"/>
  <c r="H730" i="23"/>
  <c r="F731" i="23"/>
  <c r="H731" i="23"/>
  <c r="F732" i="23"/>
  <c r="H732" i="23"/>
  <c r="F734" i="23"/>
  <c r="H734" i="23"/>
  <c r="F738" i="23"/>
  <c r="H738" i="23"/>
  <c r="F743" i="23"/>
  <c r="H743" i="23"/>
  <c r="Z18" i="10"/>
  <c r="AA18" i="10"/>
  <c r="X18" i="10"/>
  <c r="Y18" i="10"/>
  <c r="AB18" i="10"/>
  <c r="Z19" i="10"/>
  <c r="AA19" i="10"/>
  <c r="X19" i="10"/>
  <c r="Y19" i="10"/>
  <c r="AB19" i="10"/>
  <c r="Z20" i="10"/>
  <c r="AA20" i="10"/>
  <c r="X20" i="10"/>
  <c r="Y20" i="10"/>
  <c r="AB20" i="10"/>
  <c r="Z21" i="10"/>
  <c r="AA21" i="10"/>
  <c r="X21" i="10"/>
  <c r="Y21" i="10"/>
  <c r="AB21" i="10"/>
  <c r="Z22" i="10"/>
  <c r="AA22" i="10"/>
  <c r="X22" i="10"/>
  <c r="Y22" i="10"/>
  <c r="AB22" i="10"/>
  <c r="Z23" i="10"/>
  <c r="AA23" i="10"/>
  <c r="X23" i="10"/>
  <c r="Y23" i="10"/>
  <c r="AB23" i="10"/>
  <c r="Z24" i="10"/>
  <c r="AA24" i="10"/>
  <c r="X24" i="10"/>
  <c r="Y24" i="10"/>
  <c r="AB24" i="10"/>
  <c r="Z26" i="10"/>
  <c r="AA26" i="10"/>
  <c r="X26" i="10"/>
  <c r="Y26" i="10"/>
  <c r="AB26" i="10"/>
  <c r="Z27" i="10"/>
  <c r="AA27" i="10"/>
  <c r="X27" i="10"/>
  <c r="Y27" i="10"/>
  <c r="AB27" i="10"/>
  <c r="Z28" i="10"/>
  <c r="AA28" i="10"/>
  <c r="X28" i="10"/>
  <c r="Y28" i="10"/>
  <c r="AB28" i="10"/>
  <c r="Z29" i="10"/>
  <c r="AA29" i="10"/>
  <c r="X29" i="10"/>
  <c r="Y29" i="10"/>
  <c r="AB29" i="10"/>
  <c r="Z30" i="10"/>
  <c r="AA30" i="10"/>
  <c r="X30" i="10"/>
  <c r="Y30" i="10"/>
  <c r="AB30" i="10"/>
  <c r="Z31" i="10"/>
  <c r="AA31" i="10"/>
  <c r="X31" i="10"/>
  <c r="Y31" i="10"/>
  <c r="AB31" i="10"/>
  <c r="Z32" i="10"/>
  <c r="AA32" i="10"/>
  <c r="X32" i="10"/>
  <c r="Y32" i="10"/>
  <c r="AB32" i="10"/>
  <c r="Z33" i="10"/>
  <c r="AA33" i="10"/>
  <c r="X33" i="10"/>
  <c r="Y33" i="10"/>
  <c r="AB33" i="10"/>
  <c r="Z34" i="10"/>
  <c r="AA34" i="10"/>
  <c r="X34" i="10"/>
  <c r="Y34" i="10"/>
  <c r="AB34" i="10"/>
  <c r="Z35" i="10"/>
  <c r="AA35" i="10"/>
  <c r="X35" i="10"/>
  <c r="Y35" i="10"/>
  <c r="AB35" i="10"/>
  <c r="Z37" i="10"/>
  <c r="AA37" i="10"/>
  <c r="X37" i="10"/>
  <c r="Y37" i="10"/>
  <c r="AB37" i="10"/>
  <c r="Z38" i="10"/>
  <c r="AA38" i="10"/>
  <c r="X38" i="10"/>
  <c r="Y38" i="10"/>
  <c r="AB38" i="10"/>
  <c r="Z39" i="10"/>
  <c r="AA39" i="10"/>
  <c r="X39" i="10"/>
  <c r="Y39" i="10"/>
  <c r="AB39" i="10"/>
  <c r="Z40" i="10"/>
  <c r="AA40" i="10"/>
  <c r="X40" i="10"/>
  <c r="Y40" i="10"/>
  <c r="AB40" i="10"/>
  <c r="Z41" i="10"/>
  <c r="AA41" i="10"/>
  <c r="X41" i="10"/>
  <c r="Y41" i="10"/>
  <c r="AB41" i="10"/>
  <c r="Z42" i="10"/>
  <c r="AA42" i="10"/>
  <c r="X42" i="10"/>
  <c r="Y42" i="10"/>
  <c r="AB42" i="10"/>
  <c r="Z43" i="10"/>
  <c r="AA43" i="10"/>
  <c r="X43" i="10"/>
  <c r="Y43" i="10"/>
  <c r="AB43" i="10"/>
  <c r="Y44" i="10"/>
  <c r="Z45" i="10"/>
  <c r="AA45" i="10"/>
  <c r="X45" i="10"/>
  <c r="Y45" i="10"/>
  <c r="AB45" i="10"/>
  <c r="Z47" i="10"/>
  <c r="AA47" i="10"/>
  <c r="X47" i="10"/>
  <c r="Y47" i="10"/>
  <c r="AB47" i="10"/>
  <c r="Z48" i="10"/>
  <c r="AA48" i="10"/>
  <c r="X48" i="10"/>
  <c r="Y48" i="10"/>
  <c r="AB48" i="10"/>
  <c r="X49" i="10"/>
  <c r="Z50" i="10"/>
  <c r="AA50" i="10"/>
  <c r="X50" i="10"/>
  <c r="Y50" i="10"/>
  <c r="AB50" i="10"/>
  <c r="Z51" i="10"/>
  <c r="AA51" i="10"/>
  <c r="X51" i="10"/>
  <c r="Y51" i="10"/>
  <c r="AB51" i="10"/>
  <c r="E7" i="28"/>
  <c r="F7" i="28"/>
  <c r="T25" i="21"/>
  <c r="E3" i="28"/>
  <c r="C3" i="28"/>
  <c r="B3" i="28"/>
  <c r="F6" i="21"/>
  <c r="K20" i="21" s="1"/>
  <c r="X30" i="21" s="1"/>
  <c r="M52" i="10"/>
  <c r="AD35" i="21"/>
  <c r="AJ30" i="21"/>
  <c r="AJ31" i="21"/>
  <c r="W30" i="21"/>
  <c r="AB30" i="21" s="1"/>
  <c r="Z30" i="21"/>
  <c r="W31" i="21"/>
  <c r="AB31" i="21" s="1"/>
  <c r="Z31" i="21"/>
  <c r="AD31" i="21"/>
  <c r="AD21" i="21"/>
  <c r="C30" i="21"/>
  <c r="L44" i="15"/>
  <c r="C28" i="21"/>
  <c r="C26" i="21"/>
  <c r="C18" i="21"/>
  <c r="AR32" i="10"/>
  <c r="AR33" i="10"/>
  <c r="AR34" i="10"/>
  <c r="AR35" i="10"/>
  <c r="Z36" i="10"/>
  <c r="AA36" i="10"/>
  <c r="X36" i="10"/>
  <c r="Y36" i="10"/>
  <c r="AB36" i="10"/>
  <c r="AR36" i="10"/>
  <c r="AR37" i="10"/>
  <c r="AR38" i="10"/>
  <c r="AR39" i="10"/>
  <c r="AR40" i="10"/>
  <c r="AR41" i="10"/>
  <c r="AR42" i="10"/>
  <c r="AR43" i="10"/>
  <c r="Z44" i="10"/>
  <c r="AA44" i="10"/>
  <c r="X44" i="10"/>
  <c r="AB44" i="10"/>
  <c r="AR44" i="10"/>
  <c r="AR45" i="10"/>
  <c r="Z46" i="10"/>
  <c r="AA46" i="10"/>
  <c r="X46" i="10"/>
  <c r="Y46" i="10"/>
  <c r="AB46" i="10"/>
  <c r="AR46" i="10"/>
  <c r="AR47" i="10"/>
  <c r="AR48" i="10"/>
  <c r="Z49" i="10"/>
  <c r="AA49" i="10"/>
  <c r="Y49" i="10"/>
  <c r="AB49" i="10"/>
  <c r="AR49" i="10"/>
  <c r="AR50" i="10"/>
  <c r="AR51" i="10"/>
  <c r="AQ1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P19" i="10"/>
  <c r="AP2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O21" i="10"/>
  <c r="AO28" i="10"/>
  <c r="AO30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N19" i="10"/>
  <c r="AN28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R19" i="10"/>
  <c r="AR30" i="10"/>
  <c r="AQ21" i="10"/>
  <c r="AQ22" i="10"/>
  <c r="AQ23" i="10"/>
  <c r="AQ24" i="10"/>
  <c r="AA25" i="10"/>
  <c r="AQ25" i="10"/>
  <c r="AQ26" i="10"/>
  <c r="AQ27" i="10"/>
  <c r="AQ28" i="10"/>
  <c r="AQ18" i="10"/>
  <c r="AP20" i="10"/>
  <c r="AP22" i="10"/>
  <c r="AP23" i="10"/>
  <c r="Z25" i="10"/>
  <c r="AP25" i="10"/>
  <c r="AP28" i="10"/>
  <c r="AP29" i="10"/>
  <c r="AP30" i="10"/>
  <c r="AP18" i="10"/>
  <c r="AP24" i="10"/>
  <c r="AP26" i="10"/>
  <c r="AP27" i="10"/>
  <c r="AP31" i="10"/>
  <c r="AP52" i="10"/>
  <c r="AR31" i="10"/>
  <c r="AO18" i="10"/>
  <c r="AO19" i="10"/>
  <c r="AO20" i="10"/>
  <c r="AO22" i="10"/>
  <c r="Y25" i="10"/>
  <c r="AO25" i="10"/>
  <c r="AO26" i="10"/>
  <c r="AO27" i="10"/>
  <c r="AO29" i="10"/>
  <c r="AO31" i="10"/>
  <c r="AN18" i="10"/>
  <c r="AN20" i="10"/>
  <c r="AN21" i="10"/>
  <c r="AN23" i="10"/>
  <c r="X25" i="10"/>
  <c r="AN25" i="10"/>
  <c r="AN26" i="10"/>
  <c r="AN27" i="10"/>
  <c r="AN29" i="10"/>
  <c r="AN30" i="10"/>
  <c r="AN31" i="10"/>
  <c r="AN24" i="10"/>
  <c r="C258" i="23"/>
  <c r="E258" i="23"/>
  <c r="B258" i="23" s="1"/>
  <c r="C200" i="23"/>
  <c r="E200" i="23"/>
  <c r="B200" i="23" s="1"/>
  <c r="AR18" i="10"/>
  <c r="AR24" i="10"/>
  <c r="AR26" i="10"/>
  <c r="AR27" i="10"/>
  <c r="AA52" i="10"/>
  <c r="Z17" i="10"/>
  <c r="Z52" i="10"/>
  <c r="Y52" i="10"/>
  <c r="AR29" i="10"/>
  <c r="AO23" i="10"/>
  <c r="X52" i="10"/>
  <c r="AR28" i="10"/>
  <c r="AB25" i="10"/>
  <c r="AR25" i="10"/>
  <c r="AR23" i="10"/>
  <c r="AR22" i="10"/>
  <c r="AR21" i="10"/>
  <c r="AQ20" i="10"/>
  <c r="C193" i="23"/>
  <c r="E193" i="23"/>
  <c r="B193" i="23" s="1"/>
  <c r="AB52" i="10"/>
  <c r="Z23" i="5"/>
  <c r="Y23" i="5"/>
  <c r="X23" i="5"/>
  <c r="O23" i="5"/>
  <c r="Z22" i="5"/>
  <c r="Y22" i="5"/>
  <c r="X22" i="5"/>
  <c r="O22" i="5"/>
  <c r="Z21" i="5"/>
  <c r="Y21" i="5"/>
  <c r="X21" i="5"/>
  <c r="O21" i="5"/>
  <c r="Y29" i="6"/>
  <c r="X29" i="6"/>
  <c r="Y28" i="6"/>
  <c r="X28" i="6"/>
  <c r="Y27" i="6"/>
  <c r="X27" i="6"/>
  <c r="Y26" i="6"/>
  <c r="X26" i="6"/>
  <c r="Y33" i="6"/>
  <c r="X33" i="6"/>
  <c r="Y32" i="6"/>
  <c r="X32" i="6"/>
  <c r="Y31" i="6"/>
  <c r="X31" i="6"/>
  <c r="Y30" i="6"/>
  <c r="X30" i="6"/>
  <c r="Y25" i="27"/>
  <c r="X25" i="27"/>
  <c r="Y24" i="27"/>
  <c r="X24" i="27"/>
  <c r="Y23" i="27"/>
  <c r="X23" i="27"/>
  <c r="Y24" i="6"/>
  <c r="X24" i="6"/>
  <c r="Y23" i="6"/>
  <c r="X23" i="6"/>
  <c r="Y22" i="6"/>
  <c r="X22" i="6"/>
  <c r="Y21" i="6"/>
  <c r="X21" i="6"/>
  <c r="Y36" i="6"/>
  <c r="X36" i="6"/>
  <c r="Y35" i="6"/>
  <c r="X35" i="6"/>
  <c r="Y34" i="6"/>
  <c r="X34" i="6"/>
  <c r="Y25" i="6"/>
  <c r="X25" i="6"/>
  <c r="Y24" i="8"/>
  <c r="X24" i="8"/>
  <c r="Y23" i="8"/>
  <c r="X23" i="8"/>
  <c r="Y22" i="8"/>
  <c r="X22" i="8"/>
  <c r="Y21" i="8"/>
  <c r="X21" i="8"/>
  <c r="Y43" i="8"/>
  <c r="X43" i="8"/>
  <c r="Y27" i="8"/>
  <c r="X27" i="8"/>
  <c r="Y26" i="8"/>
  <c r="X26" i="8"/>
  <c r="Y25" i="8"/>
  <c r="X25" i="8"/>
  <c r="AS25" i="10"/>
  <c r="AS24" i="10"/>
  <c r="AS23" i="10"/>
  <c r="AS22" i="10"/>
  <c r="AS21" i="10"/>
  <c r="AS30" i="10"/>
  <c r="AS29" i="10"/>
  <c r="AS28" i="10"/>
  <c r="AS27" i="10"/>
  <c r="AS26" i="10"/>
  <c r="Y27" i="9"/>
  <c r="X27" i="9"/>
  <c r="Y26" i="9"/>
  <c r="X26" i="9"/>
  <c r="Y25" i="9"/>
  <c r="X25" i="9"/>
  <c r="Y24" i="9"/>
  <c r="X24" i="9"/>
  <c r="Y23" i="9"/>
  <c r="X23" i="9"/>
  <c r="Y22" i="9"/>
  <c r="X22" i="9"/>
  <c r="Y33" i="9"/>
  <c r="X33" i="9"/>
  <c r="Y32" i="9"/>
  <c r="X32" i="9"/>
  <c r="Y31" i="9"/>
  <c r="X31" i="9"/>
  <c r="Y30" i="9"/>
  <c r="X30" i="9"/>
  <c r="Y29" i="9"/>
  <c r="X29" i="9"/>
  <c r="Y28" i="9"/>
  <c r="X28" i="9"/>
  <c r="A16" i="21"/>
  <c r="Y29" i="27"/>
  <c r="X29" i="27"/>
  <c r="Y28" i="27"/>
  <c r="X28" i="27"/>
  <c r="Y27" i="27"/>
  <c r="X27" i="27"/>
  <c r="Y26" i="27"/>
  <c r="X26" i="27"/>
  <c r="Y22" i="27"/>
  <c r="X22" i="27"/>
  <c r="Y34" i="27"/>
  <c r="X34" i="27"/>
  <c r="Y33" i="27"/>
  <c r="X33" i="27"/>
  <c r="Y32" i="27"/>
  <c r="X32" i="27"/>
  <c r="Y31" i="27"/>
  <c r="X31" i="27"/>
  <c r="Y30" i="27"/>
  <c r="X30" i="27"/>
  <c r="Z27" i="5"/>
  <c r="Y27" i="5"/>
  <c r="X27" i="5"/>
  <c r="O27" i="5"/>
  <c r="Z26" i="5"/>
  <c r="Y26" i="5"/>
  <c r="X26" i="5"/>
  <c r="O26" i="5"/>
  <c r="Z25" i="5"/>
  <c r="Y25" i="5"/>
  <c r="X25" i="5"/>
  <c r="O25" i="5"/>
  <c r="Z24" i="5"/>
  <c r="Y24" i="5"/>
  <c r="X24" i="5"/>
  <c r="O24" i="5"/>
  <c r="Z20" i="5"/>
  <c r="Y20" i="5"/>
  <c r="X20" i="5"/>
  <c r="O20" i="5"/>
  <c r="Z32" i="5"/>
  <c r="Y32" i="5"/>
  <c r="X32" i="5"/>
  <c r="O32" i="5"/>
  <c r="Z31" i="5"/>
  <c r="Y31" i="5"/>
  <c r="X31" i="5"/>
  <c r="O31" i="5"/>
  <c r="Z30" i="5"/>
  <c r="Y30" i="5"/>
  <c r="X30" i="5"/>
  <c r="O30" i="5"/>
  <c r="Z29" i="5"/>
  <c r="Y29" i="5"/>
  <c r="X29" i="5"/>
  <c r="O29" i="5"/>
  <c r="Z28" i="5"/>
  <c r="Y28" i="5"/>
  <c r="X28" i="5"/>
  <c r="O28" i="5"/>
  <c r="Y27" i="1"/>
  <c r="X27" i="1"/>
  <c r="Y26" i="1"/>
  <c r="X26" i="1"/>
  <c r="Y25" i="1"/>
  <c r="X25" i="1"/>
  <c r="Y24" i="1"/>
  <c r="X24" i="1"/>
  <c r="Y23" i="1"/>
  <c r="X23" i="1"/>
  <c r="Y32" i="1"/>
  <c r="X32" i="1"/>
  <c r="Y31" i="1"/>
  <c r="X31" i="1"/>
  <c r="Y30" i="1"/>
  <c r="X30" i="1"/>
  <c r="Y29" i="1"/>
  <c r="X29" i="1"/>
  <c r="Y28" i="1"/>
  <c r="X28" i="1"/>
  <c r="C205" i="23"/>
  <c r="E205" i="23"/>
  <c r="B205" i="23" s="1"/>
  <c r="AQ29" i="10"/>
  <c r="AO24" i="10"/>
  <c r="AN22" i="10"/>
  <c r="C181" i="23"/>
  <c r="E181" i="23"/>
  <c r="B181" i="23" s="1"/>
  <c r="C78" i="23"/>
  <c r="E78" i="23"/>
  <c r="B78" i="23" s="1"/>
  <c r="F13" i="21"/>
  <c r="S40" i="21"/>
  <c r="C210" i="23"/>
  <c r="E210" i="23"/>
  <c r="B210" i="23" s="1"/>
  <c r="E166" i="23"/>
  <c r="B166" i="23" s="1"/>
  <c r="C166" i="23"/>
  <c r="C165" i="23"/>
  <c r="E165" i="23"/>
  <c r="B165" i="23" s="1"/>
  <c r="C162" i="23"/>
  <c r="E162" i="23"/>
  <c r="B162" i="23" s="1"/>
  <c r="C159" i="23"/>
  <c r="E159" i="23"/>
  <c r="B159" i="23" s="1"/>
  <c r="C169" i="23"/>
  <c r="E169" i="23"/>
  <c r="B169" i="23"/>
  <c r="C738" i="23"/>
  <c r="E738" i="23"/>
  <c r="B738" i="23" s="1"/>
  <c r="C734" i="23"/>
  <c r="E734" i="23"/>
  <c r="B734" i="23" s="1"/>
  <c r="C732" i="23"/>
  <c r="E732" i="23"/>
  <c r="B732" i="23" s="1"/>
  <c r="E731" i="23"/>
  <c r="B731" i="23" s="1"/>
  <c r="C731" i="23"/>
  <c r="A1" i="21"/>
  <c r="K31" i="21"/>
  <c r="G5" i="28"/>
  <c r="K4" i="28"/>
  <c r="G4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C155" i="23"/>
  <c r="E155" i="23"/>
  <c r="B155" i="23" s="1"/>
  <c r="Q22" i="21"/>
  <c r="AD28" i="21"/>
  <c r="B30" i="21"/>
  <c r="H30" i="21" s="1"/>
  <c r="AD27" i="21" s="1"/>
  <c r="AD26" i="21"/>
  <c r="AD25" i="21"/>
  <c r="AD24" i="21"/>
  <c r="AD23" i="21"/>
  <c r="AD22" i="21"/>
  <c r="C143" i="23"/>
  <c r="E143" i="23"/>
  <c r="B143" i="23" s="1"/>
  <c r="C132" i="23"/>
  <c r="E132" i="23"/>
  <c r="B132" i="23" s="1"/>
  <c r="C131" i="23"/>
  <c r="E131" i="23"/>
  <c r="B131" i="23" s="1"/>
  <c r="C130" i="23"/>
  <c r="E130" i="23"/>
  <c r="B130" i="23" s="1"/>
  <c r="AJ36" i="21"/>
  <c r="Z36" i="21"/>
  <c r="W36" i="21"/>
  <c r="AB36" i="21" s="1"/>
  <c r="AJ35" i="21"/>
  <c r="Z35" i="21"/>
  <c r="W35" i="21"/>
  <c r="AB35" i="21" s="1"/>
  <c r="AJ34" i="21"/>
  <c r="Z34" i="21"/>
  <c r="W34" i="21"/>
  <c r="AB34" i="21" s="1"/>
  <c r="AJ33" i="21"/>
  <c r="Z33" i="21"/>
  <c r="W33" i="21"/>
  <c r="AB33" i="21" s="1"/>
  <c r="AJ32" i="21"/>
  <c r="AG32" i="21"/>
  <c r="AE32" i="21"/>
  <c r="Z32" i="21"/>
  <c r="W32" i="21"/>
  <c r="AB32" i="21" s="1"/>
  <c r="AJ29" i="21"/>
  <c r="AG29" i="21"/>
  <c r="AF30" i="21" s="1"/>
  <c r="AG31" i="21" s="1"/>
  <c r="AE29" i="21"/>
  <c r="Z29" i="21"/>
  <c r="W29" i="21"/>
  <c r="AB29" i="21" s="1"/>
  <c r="AJ28" i="21"/>
  <c r="AG28" i="21"/>
  <c r="AE28" i="21"/>
  <c r="Z28" i="21"/>
  <c r="W28" i="21"/>
  <c r="AB28" i="21" s="1"/>
  <c r="AJ27" i="21"/>
  <c r="AG27" i="21"/>
  <c r="AE27" i="21"/>
  <c r="Z27" i="21"/>
  <c r="W27" i="21"/>
  <c r="AB27" i="21" s="1"/>
  <c r="AJ26" i="21"/>
  <c r="AG26" i="21"/>
  <c r="AE26" i="21"/>
  <c r="Z26" i="21"/>
  <c r="W26" i="21"/>
  <c r="AB26" i="21" s="1"/>
  <c r="AJ25" i="21"/>
  <c r="AG25" i="21"/>
  <c r="AE25" i="21"/>
  <c r="Z25" i="21"/>
  <c r="W25" i="21"/>
  <c r="AB25" i="21" s="1"/>
  <c r="AJ24" i="21"/>
  <c r="AE24" i="21"/>
  <c r="Z24" i="21"/>
  <c r="W24" i="21"/>
  <c r="AB24" i="21" s="1"/>
  <c r="AJ23" i="21"/>
  <c r="AE23" i="21"/>
  <c r="Z23" i="21"/>
  <c r="W23" i="21"/>
  <c r="AB23" i="21" s="1"/>
  <c r="AJ22" i="21"/>
  <c r="AE22" i="21"/>
  <c r="Z22" i="21"/>
  <c r="W22" i="21"/>
  <c r="AB22" i="21" s="1"/>
  <c r="AJ21" i="21"/>
  <c r="AE21" i="21"/>
  <c r="Z21" i="21"/>
  <c r="W21" i="21"/>
  <c r="AB21" i="21" s="1"/>
  <c r="C573" i="23"/>
  <c r="E573" i="23"/>
  <c r="B573" i="23" s="1"/>
  <c r="K21" i="28"/>
  <c r="I21" i="28"/>
  <c r="H21" i="28"/>
  <c r="K20" i="28"/>
  <c r="I20" i="28"/>
  <c r="H20" i="28"/>
  <c r="K19" i="28"/>
  <c r="I19" i="28"/>
  <c r="H19" i="28"/>
  <c r="K18" i="28"/>
  <c r="I18" i="28"/>
  <c r="H18" i="28"/>
  <c r="K17" i="28"/>
  <c r="I17" i="28"/>
  <c r="H17" i="28"/>
  <c r="K16" i="28"/>
  <c r="I16" i="28"/>
  <c r="H16" i="28"/>
  <c r="K15" i="28"/>
  <c r="I15" i="28"/>
  <c r="H15" i="28"/>
  <c r="K14" i="28"/>
  <c r="I14" i="28"/>
  <c r="H14" i="28"/>
  <c r="K13" i="28"/>
  <c r="I13" i="28"/>
  <c r="H13" i="28"/>
  <c r="K12" i="28"/>
  <c r="I12" i="28"/>
  <c r="H12" i="28"/>
  <c r="K11" i="28"/>
  <c r="I11" i="28"/>
  <c r="H11" i="28"/>
  <c r="K10" i="28"/>
  <c r="I10" i="28"/>
  <c r="H10" i="28"/>
  <c r="K9" i="28"/>
  <c r="I9" i="28"/>
  <c r="H9" i="28"/>
  <c r="K8" i="28"/>
  <c r="I8" i="28"/>
  <c r="H8" i="28"/>
  <c r="K7" i="28"/>
  <c r="I7" i="28"/>
  <c r="H7" i="28"/>
  <c r="K6" i="28"/>
  <c r="I6" i="28"/>
  <c r="H6" i="28"/>
  <c r="K5" i="28"/>
  <c r="I5" i="28"/>
  <c r="H5" i="28"/>
  <c r="I4" i="28"/>
  <c r="H4" i="28"/>
  <c r="K3" i="28"/>
  <c r="I3" i="28"/>
  <c r="H3" i="28"/>
  <c r="C18" i="28"/>
  <c r="F12" i="28"/>
  <c r="E12" i="28"/>
  <c r="C12" i="28"/>
  <c r="B12" i="28"/>
  <c r="F11" i="28"/>
  <c r="E11" i="28"/>
  <c r="C11" i="28"/>
  <c r="B11" i="28"/>
  <c r="F10" i="28"/>
  <c r="E10" i="28"/>
  <c r="C10" i="28"/>
  <c r="B10" i="28"/>
  <c r="F9" i="28"/>
  <c r="E9" i="28"/>
  <c r="C9" i="28"/>
  <c r="B9" i="28"/>
  <c r="F8" i="28"/>
  <c r="E8" i="28"/>
  <c r="C8" i="28"/>
  <c r="B8" i="28"/>
  <c r="F6" i="28"/>
  <c r="E6" i="28"/>
  <c r="C6" i="28"/>
  <c r="B6" i="28"/>
  <c r="F5" i="28"/>
  <c r="E5" i="28"/>
  <c r="C5" i="28"/>
  <c r="B5" i="28"/>
  <c r="F4" i="28"/>
  <c r="E4" i="28"/>
  <c r="B4" i="28"/>
  <c r="F3" i="28"/>
  <c r="C727" i="23"/>
  <c r="E727" i="23"/>
  <c r="B727" i="23" s="1"/>
  <c r="C85" i="23"/>
  <c r="E85" i="23"/>
  <c r="B85" i="23" s="1"/>
  <c r="Y18" i="9"/>
  <c r="Y19" i="9"/>
  <c r="Y20" i="9"/>
  <c r="Y21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17" i="9"/>
  <c r="AS19" i="10"/>
  <c r="AS2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18" i="10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13" i="15"/>
  <c r="Y18" i="8"/>
  <c r="Y19" i="8"/>
  <c r="Y20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17" i="8"/>
  <c r="Y18" i="27"/>
  <c r="Y19" i="27"/>
  <c r="Y20" i="27"/>
  <c r="Y21" i="27"/>
  <c r="Y35" i="27"/>
  <c r="Y36" i="27"/>
  <c r="Y37" i="27"/>
  <c r="Y38" i="27"/>
  <c r="Y39" i="27"/>
  <c r="Y40" i="27"/>
  <c r="Y41" i="27"/>
  <c r="Y42" i="27"/>
  <c r="Y43" i="27"/>
  <c r="Y44" i="27"/>
  <c r="Y45" i="27"/>
  <c r="Y46" i="27"/>
  <c r="Y47" i="27"/>
  <c r="Y48" i="27"/>
  <c r="Y49" i="27"/>
  <c r="Y50" i="27"/>
  <c r="Y51" i="27"/>
  <c r="Y52" i="27"/>
  <c r="Y53" i="27"/>
  <c r="Y54" i="27"/>
  <c r="Y17" i="27"/>
  <c r="Y18" i="6"/>
  <c r="Y19" i="6"/>
  <c r="Y20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17" i="6"/>
  <c r="Y17" i="5"/>
  <c r="Y18" i="5"/>
  <c r="Y19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16" i="5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13" i="17"/>
  <c r="Y18" i="1"/>
  <c r="Y19" i="1"/>
  <c r="Y20" i="1"/>
  <c r="Y21" i="1"/>
  <c r="Y2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17" i="1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12" i="13"/>
  <c r="Y18" i="19"/>
  <c r="Y19" i="19"/>
  <c r="Y20" i="19"/>
  <c r="Y21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17" i="19"/>
  <c r="C726" i="23"/>
  <c r="E726" i="23"/>
  <c r="B726" i="23" s="1"/>
  <c r="C724" i="23"/>
  <c r="E724" i="23"/>
  <c r="B724" i="23" s="1"/>
  <c r="C722" i="23"/>
  <c r="E722" i="23"/>
  <c r="B722" i="23" s="1"/>
  <c r="C721" i="23"/>
  <c r="E721" i="23"/>
  <c r="B721" i="23" s="1"/>
  <c r="C719" i="23"/>
  <c r="E719" i="23"/>
  <c r="B719" i="23" s="1"/>
  <c r="C718" i="23"/>
  <c r="E718" i="23"/>
  <c r="B718" i="23" s="1"/>
  <c r="C715" i="23"/>
  <c r="E715" i="23"/>
  <c r="B715" i="23" s="1"/>
  <c r="C83" i="23"/>
  <c r="E83" i="23"/>
  <c r="B83" i="23"/>
  <c r="C87" i="23"/>
  <c r="E87" i="23"/>
  <c r="B87" i="23" s="1"/>
  <c r="C713" i="23"/>
  <c r="E713" i="23"/>
  <c r="B713" i="23" s="1"/>
  <c r="C578" i="23"/>
  <c r="E578" i="23"/>
  <c r="B578" i="23" s="1"/>
  <c r="C712" i="23"/>
  <c r="E712" i="23"/>
  <c r="B712" i="23" s="1"/>
  <c r="C592" i="23"/>
  <c r="E592" i="23"/>
  <c r="B592" i="23" s="1"/>
  <c r="C579" i="23"/>
  <c r="E579" i="23"/>
  <c r="B579" i="23" s="1"/>
  <c r="C583" i="23"/>
  <c r="E583" i="23"/>
  <c r="B583" i="23" s="1"/>
  <c r="C593" i="23"/>
  <c r="E593" i="23"/>
  <c r="B593" i="23" s="1"/>
  <c r="C602" i="23"/>
  <c r="E602" i="23"/>
  <c r="B602" i="23" s="1"/>
  <c r="C152" i="23"/>
  <c r="C584" i="23"/>
  <c r="E584" i="23"/>
  <c r="B584" i="23" s="1"/>
  <c r="C585" i="23"/>
  <c r="E585" i="23"/>
  <c r="B585" i="23" s="1"/>
  <c r="C588" i="23"/>
  <c r="E588" i="23"/>
  <c r="B588" i="23" s="1"/>
  <c r="C575" i="23"/>
  <c r="E575" i="23"/>
  <c r="B575" i="23" s="1"/>
  <c r="C574" i="23"/>
  <c r="E574" i="23"/>
  <c r="B574" i="23" s="1"/>
  <c r="C576" i="23"/>
  <c r="E576" i="23"/>
  <c r="B576" i="23" s="1"/>
  <c r="C91" i="23"/>
  <c r="E91" i="23"/>
  <c r="B91" i="23" s="1"/>
  <c r="E71" i="23"/>
  <c r="B71" i="23" s="1"/>
  <c r="C567" i="23"/>
  <c r="E567" i="23"/>
  <c r="B567" i="23" s="1"/>
  <c r="C566" i="23"/>
  <c r="E566" i="23"/>
  <c r="B566" i="23" s="1"/>
  <c r="C565" i="23"/>
  <c r="E565" i="23"/>
  <c r="B565" i="23" s="1"/>
  <c r="C564" i="23"/>
  <c r="E564" i="23"/>
  <c r="B564" i="23" s="1"/>
  <c r="C558" i="23"/>
  <c r="E558" i="23"/>
  <c r="B558" i="23" s="1"/>
  <c r="C557" i="23"/>
  <c r="E557" i="23"/>
  <c r="B557" i="23" s="1"/>
  <c r="C556" i="23"/>
  <c r="E556" i="23"/>
  <c r="B556" i="23" s="1"/>
  <c r="C555" i="23"/>
  <c r="E555" i="23"/>
  <c r="B555" i="23" s="1"/>
  <c r="C552" i="23"/>
  <c r="E552" i="23"/>
  <c r="B552" i="23" s="1"/>
  <c r="C550" i="23"/>
  <c r="E550" i="23"/>
  <c r="E13" i="28"/>
  <c r="E14" i="28"/>
  <c r="E15" i="28"/>
  <c r="E16" i="28"/>
  <c r="E17" i="28"/>
  <c r="E18" i="28"/>
  <c r="F13" i="28"/>
  <c r="F14" i="28"/>
  <c r="F15" i="28"/>
  <c r="F16" i="28"/>
  <c r="F17" i="28"/>
  <c r="F18" i="28"/>
  <c r="E69" i="23"/>
  <c r="B69" i="23" s="1"/>
  <c r="C69" i="23"/>
  <c r="E743" i="23"/>
  <c r="B743" i="23" s="1"/>
  <c r="C743" i="23"/>
  <c r="C12" i="23"/>
  <c r="E12" i="23"/>
  <c r="B12" i="23" s="1"/>
  <c r="C546" i="23"/>
  <c r="E546" i="23"/>
  <c r="B546" i="23" s="1"/>
  <c r="C66" i="23"/>
  <c r="E66" i="23"/>
  <c r="B66" i="23" s="1"/>
  <c r="C67" i="23"/>
  <c r="E67" i="23"/>
  <c r="B67" i="23" s="1"/>
  <c r="O17" i="5"/>
  <c r="O18" i="5"/>
  <c r="O19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16" i="5"/>
  <c r="Z17" i="5"/>
  <c r="Z18" i="5"/>
  <c r="Z19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16" i="5"/>
  <c r="C543" i="23"/>
  <c r="E543" i="23"/>
  <c r="B543" i="23" s="1"/>
  <c r="C533" i="23"/>
  <c r="E533" i="23"/>
  <c r="B533" i="23" s="1"/>
  <c r="C532" i="23"/>
  <c r="E532" i="23"/>
  <c r="B532" i="23" s="1"/>
  <c r="C538" i="23"/>
  <c r="E538" i="23"/>
  <c r="B538" i="23" s="1"/>
  <c r="C622" i="23"/>
  <c r="C623" i="23"/>
  <c r="C624" i="23"/>
  <c r="C625" i="23"/>
  <c r="C626" i="23"/>
  <c r="C627" i="23"/>
  <c r="C628" i="23"/>
  <c r="C629" i="23"/>
  <c r="C630" i="23"/>
  <c r="C631" i="23"/>
  <c r="C632" i="23"/>
  <c r="C633" i="23"/>
  <c r="C634" i="23"/>
  <c r="C635" i="23"/>
  <c r="C636" i="23"/>
  <c r="C637" i="23"/>
  <c r="C638" i="23"/>
  <c r="C639" i="23"/>
  <c r="C640" i="23"/>
  <c r="C641" i="23"/>
  <c r="C642" i="23"/>
  <c r="C643" i="23"/>
  <c r="C644" i="23"/>
  <c r="C645" i="23"/>
  <c r="C646" i="23"/>
  <c r="C647" i="23"/>
  <c r="C648" i="23"/>
  <c r="C649" i="23"/>
  <c r="C650" i="23"/>
  <c r="C651" i="23"/>
  <c r="C652" i="23"/>
  <c r="C653" i="23"/>
  <c r="C654" i="23"/>
  <c r="C655" i="23"/>
  <c r="C656" i="23"/>
  <c r="C657" i="23"/>
  <c r="C658" i="23"/>
  <c r="C659" i="23"/>
  <c r="C660" i="23"/>
  <c r="C661" i="23"/>
  <c r="C662" i="23"/>
  <c r="C663" i="23"/>
  <c r="C664" i="23"/>
  <c r="C665" i="23"/>
  <c r="C666" i="23"/>
  <c r="C667" i="23"/>
  <c r="C668" i="23"/>
  <c r="C669" i="23"/>
  <c r="C670" i="23"/>
  <c r="C671" i="23"/>
  <c r="C672" i="23"/>
  <c r="C673" i="23"/>
  <c r="C674" i="23"/>
  <c r="C675" i="23"/>
  <c r="C676" i="23"/>
  <c r="C677" i="23"/>
  <c r="C678" i="23"/>
  <c r="C679" i="23"/>
  <c r="C680" i="23"/>
  <c r="C681" i="23"/>
  <c r="C682" i="23"/>
  <c r="C683" i="23"/>
  <c r="C684" i="23"/>
  <c r="C685" i="23"/>
  <c r="C686" i="23"/>
  <c r="C687" i="23"/>
  <c r="C688" i="23"/>
  <c r="C689" i="23"/>
  <c r="C690" i="23"/>
  <c r="C691" i="23"/>
  <c r="C692" i="23"/>
  <c r="C693" i="23"/>
  <c r="C694" i="23"/>
  <c r="C695" i="23"/>
  <c r="C696" i="23"/>
  <c r="C697" i="23"/>
  <c r="C698" i="23"/>
  <c r="C699" i="23"/>
  <c r="C700" i="23"/>
  <c r="C701" i="23"/>
  <c r="C702" i="23"/>
  <c r="C703" i="23"/>
  <c r="C704" i="23"/>
  <c r="C705" i="23"/>
  <c r="C706" i="23"/>
  <c r="C707" i="23"/>
  <c r="C708" i="23"/>
  <c r="C709" i="23"/>
  <c r="C710" i="23"/>
  <c r="C711" i="23"/>
  <c r="C714" i="23"/>
  <c r="C716" i="23"/>
  <c r="C717" i="23"/>
  <c r="C720" i="23"/>
  <c r="C723" i="23"/>
  <c r="C725" i="23"/>
  <c r="C728" i="23"/>
  <c r="C729" i="23"/>
  <c r="C730" i="23"/>
  <c r="C621" i="23"/>
  <c r="E505" i="23"/>
  <c r="B505" i="23" s="1"/>
  <c r="C75" i="23"/>
  <c r="E75" i="23"/>
  <c r="B75" i="23" s="1"/>
  <c r="C537" i="23"/>
  <c r="E537" i="23"/>
  <c r="B537" i="23" s="1"/>
  <c r="C4" i="23"/>
  <c r="C6" i="23"/>
  <c r="C7" i="23"/>
  <c r="C8" i="23"/>
  <c r="C9" i="23"/>
  <c r="C10" i="23"/>
  <c r="C11" i="23"/>
  <c r="C13" i="23"/>
  <c r="C14" i="23"/>
  <c r="C15" i="23"/>
  <c r="C16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215" i="23"/>
  <c r="C5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8" i="23"/>
  <c r="C70" i="23"/>
  <c r="C72" i="23"/>
  <c r="C73" i="23"/>
  <c r="C76" i="23"/>
  <c r="C77" i="23"/>
  <c r="C79" i="23"/>
  <c r="C80" i="23"/>
  <c r="C81" i="23"/>
  <c r="C82" i="23"/>
  <c r="C84" i="23"/>
  <c r="C86" i="23"/>
  <c r="C88" i="23"/>
  <c r="C89" i="23"/>
  <c r="C90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C128" i="23"/>
  <c r="C129" i="23"/>
  <c r="C133" i="23"/>
  <c r="C134" i="23"/>
  <c r="C135" i="23"/>
  <c r="C136" i="23"/>
  <c r="C137" i="23"/>
  <c r="C138" i="23"/>
  <c r="C139" i="23"/>
  <c r="C140" i="23"/>
  <c r="C141" i="23"/>
  <c r="C142" i="23"/>
  <c r="C144" i="23"/>
  <c r="C145" i="23"/>
  <c r="C146" i="23"/>
  <c r="C147" i="23"/>
  <c r="C148" i="23"/>
  <c r="C149" i="23"/>
  <c r="C150" i="23"/>
  <c r="C151" i="23"/>
  <c r="C153" i="23"/>
  <c r="C154" i="23"/>
  <c r="C156" i="23"/>
  <c r="C157" i="23"/>
  <c r="C158" i="23"/>
  <c r="C160" i="23"/>
  <c r="C161" i="23"/>
  <c r="C163" i="23"/>
  <c r="C164" i="23"/>
  <c r="C167" i="23"/>
  <c r="C170" i="23"/>
  <c r="C171" i="23"/>
  <c r="C172" i="23"/>
  <c r="C173" i="23"/>
  <c r="C174" i="23"/>
  <c r="C175" i="23"/>
  <c r="C176" i="23"/>
  <c r="C177" i="23"/>
  <c r="C178" i="23"/>
  <c r="C179" i="23"/>
  <c r="C180" i="23"/>
  <c r="C182" i="23"/>
  <c r="C183" i="23"/>
  <c r="C184" i="23"/>
  <c r="C185" i="23"/>
  <c r="C186" i="23"/>
  <c r="C187" i="23"/>
  <c r="C188" i="23"/>
  <c r="C189" i="23"/>
  <c r="C190" i="23"/>
  <c r="C192" i="23"/>
  <c r="C194" i="23"/>
  <c r="C195" i="23"/>
  <c r="C196" i="23"/>
  <c r="C197" i="23"/>
  <c r="C198" i="23"/>
  <c r="C199" i="23"/>
  <c r="C201" i="23"/>
  <c r="C202" i="23"/>
  <c r="C203" i="23"/>
  <c r="C204" i="23"/>
  <c r="C206" i="23"/>
  <c r="C207" i="23"/>
  <c r="C208" i="23"/>
  <c r="C209" i="23"/>
  <c r="C211" i="23"/>
  <c r="C212" i="23"/>
  <c r="C213" i="23"/>
  <c r="C214" i="23"/>
  <c r="C216" i="23"/>
  <c r="C217" i="23"/>
  <c r="C218" i="23"/>
  <c r="C219" i="23"/>
  <c r="C220" i="23"/>
  <c r="C221" i="23"/>
  <c r="C222" i="23"/>
  <c r="C223" i="23"/>
  <c r="C224" i="23"/>
  <c r="C225" i="23"/>
  <c r="C226" i="23"/>
  <c r="C227" i="23"/>
  <c r="C229" i="23"/>
  <c r="C230" i="23"/>
  <c r="C231" i="23"/>
  <c r="C232" i="23"/>
  <c r="C233" i="23"/>
  <c r="C234" i="23"/>
  <c r="C235" i="23"/>
  <c r="C236" i="23"/>
  <c r="C237" i="23"/>
  <c r="C238" i="23"/>
  <c r="C239" i="23"/>
  <c r="C240" i="23"/>
  <c r="C241" i="23"/>
  <c r="C242" i="23"/>
  <c r="C243" i="23"/>
  <c r="C244" i="23"/>
  <c r="C245" i="23"/>
  <c r="C246" i="23"/>
  <c r="C247" i="23"/>
  <c r="C248" i="23"/>
  <c r="C249" i="23"/>
  <c r="C250" i="23"/>
  <c r="C251" i="23"/>
  <c r="C252" i="23"/>
  <c r="C253" i="23"/>
  <c r="C254" i="23"/>
  <c r="C255" i="23"/>
  <c r="C256" i="23"/>
  <c r="C257" i="23"/>
  <c r="C260" i="23"/>
  <c r="C261" i="23"/>
  <c r="C262" i="23"/>
  <c r="C263" i="23"/>
  <c r="C264" i="23"/>
  <c r="C265" i="23"/>
  <c r="C266" i="23"/>
  <c r="C267" i="23"/>
  <c r="C268" i="23"/>
  <c r="C269" i="23"/>
  <c r="C271" i="23"/>
  <c r="C272" i="23"/>
  <c r="C273" i="23"/>
  <c r="C274" i="23"/>
  <c r="C275" i="23"/>
  <c r="C276" i="23"/>
  <c r="C277" i="23"/>
  <c r="C278" i="23"/>
  <c r="C279" i="23"/>
  <c r="C280" i="23"/>
  <c r="C281" i="23"/>
  <c r="C282" i="23"/>
  <c r="C283" i="23"/>
  <c r="C284" i="23"/>
  <c r="C285" i="23"/>
  <c r="C286" i="23"/>
  <c r="C287" i="23"/>
  <c r="C288" i="23"/>
  <c r="C289" i="23"/>
  <c r="C290" i="23"/>
  <c r="C291" i="23"/>
  <c r="C292" i="23"/>
  <c r="C293" i="23"/>
  <c r="C294" i="23"/>
  <c r="C295" i="23"/>
  <c r="C296" i="23"/>
  <c r="C297" i="23"/>
  <c r="C298" i="23"/>
  <c r="C299" i="23"/>
  <c r="C300" i="23"/>
  <c r="C301" i="23"/>
  <c r="C302" i="23"/>
  <c r="C303" i="23"/>
  <c r="C304" i="23"/>
  <c r="C305" i="23"/>
  <c r="C306" i="23"/>
  <c r="C307" i="23"/>
  <c r="C308" i="23"/>
  <c r="C309" i="23"/>
  <c r="C310" i="23"/>
  <c r="C311" i="23"/>
  <c r="C312" i="23"/>
  <c r="C313" i="23"/>
  <c r="C315" i="23"/>
  <c r="C317" i="23"/>
  <c r="C318" i="23"/>
  <c r="C319" i="23"/>
  <c r="C320" i="23"/>
  <c r="C321" i="23"/>
  <c r="C322" i="23"/>
  <c r="C324" i="23"/>
  <c r="C325" i="23"/>
  <c r="C326" i="23"/>
  <c r="C327" i="23"/>
  <c r="C328" i="23"/>
  <c r="C329" i="23"/>
  <c r="C330" i="23"/>
  <c r="C331" i="23"/>
  <c r="C332" i="23"/>
  <c r="C333" i="23"/>
  <c r="C334" i="23"/>
  <c r="C335" i="23"/>
  <c r="C336" i="23"/>
  <c r="C337" i="23"/>
  <c r="C338" i="23"/>
  <c r="C339" i="23"/>
  <c r="C340" i="23"/>
  <c r="C341" i="23"/>
  <c r="C342" i="23"/>
  <c r="C343" i="23"/>
  <c r="C344" i="23"/>
  <c r="C345" i="23"/>
  <c r="C346" i="23"/>
  <c r="C347" i="23"/>
  <c r="C348" i="23"/>
  <c r="C349" i="23"/>
  <c r="C350" i="23"/>
  <c r="C351" i="23"/>
  <c r="C352" i="23"/>
  <c r="C353" i="23"/>
  <c r="C354" i="23"/>
  <c r="C355" i="23"/>
  <c r="C356" i="23"/>
  <c r="C357" i="23"/>
  <c r="C358" i="23"/>
  <c r="C359" i="23"/>
  <c r="C360" i="23"/>
  <c r="C361" i="23"/>
  <c r="C362" i="23"/>
  <c r="C363" i="23"/>
  <c r="C364" i="23"/>
  <c r="C365" i="23"/>
  <c r="C366" i="23"/>
  <c r="C367" i="23"/>
  <c r="C368" i="23"/>
  <c r="C369" i="23"/>
  <c r="C370" i="23"/>
  <c r="C371" i="23"/>
  <c r="C372" i="23"/>
  <c r="C373" i="23"/>
  <c r="C374" i="23"/>
  <c r="C375" i="23"/>
  <c r="C376" i="23"/>
  <c r="C377" i="23"/>
  <c r="C378" i="23"/>
  <c r="C379" i="23"/>
  <c r="C380" i="23"/>
  <c r="C381" i="23"/>
  <c r="C382" i="23"/>
  <c r="C383" i="23"/>
  <c r="C384" i="23"/>
  <c r="C385" i="23"/>
  <c r="C386" i="23"/>
  <c r="C387" i="23"/>
  <c r="C388" i="23"/>
  <c r="C389" i="23"/>
  <c r="C390" i="23"/>
  <c r="C391" i="23"/>
  <c r="C392" i="23"/>
  <c r="C393" i="23"/>
  <c r="C394" i="23"/>
  <c r="C395" i="23"/>
  <c r="C396" i="23"/>
  <c r="C397" i="23"/>
  <c r="C398" i="23"/>
  <c r="C399" i="23"/>
  <c r="C400" i="23"/>
  <c r="C401" i="23"/>
  <c r="C402" i="23"/>
  <c r="C403" i="23"/>
  <c r="C404" i="23"/>
  <c r="C405" i="23"/>
  <c r="C406" i="23"/>
  <c r="C407" i="23"/>
  <c r="C408" i="23"/>
  <c r="C409" i="23"/>
  <c r="C410" i="23"/>
  <c r="C411" i="23"/>
  <c r="C412" i="23"/>
  <c r="C413" i="23"/>
  <c r="C414" i="23"/>
  <c r="C415" i="23"/>
  <c r="C416" i="23"/>
  <c r="C417" i="23"/>
  <c r="C418" i="23"/>
  <c r="C419" i="23"/>
  <c r="C420" i="23"/>
  <c r="C421" i="23"/>
  <c r="C422" i="23"/>
  <c r="C423" i="23"/>
  <c r="C424" i="23"/>
  <c r="C425" i="23"/>
  <c r="C426" i="23"/>
  <c r="C427" i="23"/>
  <c r="C428" i="23"/>
  <c r="C429" i="23"/>
  <c r="C430" i="23"/>
  <c r="C431" i="23"/>
  <c r="C432" i="23"/>
  <c r="C433" i="23"/>
  <c r="C434" i="23"/>
  <c r="C435" i="23"/>
  <c r="C436" i="23"/>
  <c r="C437" i="23"/>
  <c r="C438" i="23"/>
  <c r="C439" i="23"/>
  <c r="C440" i="23"/>
  <c r="C441" i="23"/>
  <c r="C442" i="23"/>
  <c r="C443" i="23"/>
  <c r="C444" i="23"/>
  <c r="C445" i="23"/>
  <c r="C446" i="23"/>
  <c r="C447" i="23"/>
  <c r="C448" i="23"/>
  <c r="C449" i="23"/>
  <c r="C450" i="23"/>
  <c r="C451" i="23"/>
  <c r="C452" i="23"/>
  <c r="C453" i="23"/>
  <c r="C454" i="23"/>
  <c r="C455" i="23"/>
  <c r="C456" i="23"/>
  <c r="C457" i="23"/>
  <c r="C458" i="23"/>
  <c r="C459" i="23"/>
  <c r="C460" i="23"/>
  <c r="C461" i="23"/>
  <c r="C462" i="23"/>
  <c r="C463" i="23"/>
  <c r="C464" i="23"/>
  <c r="C465" i="23"/>
  <c r="C466" i="23"/>
  <c r="C467" i="23"/>
  <c r="C468" i="23"/>
  <c r="C469" i="23"/>
  <c r="C470" i="23"/>
  <c r="C471" i="23"/>
  <c r="C472" i="23"/>
  <c r="C473" i="23"/>
  <c r="C474" i="23"/>
  <c r="C475" i="23"/>
  <c r="C476" i="23"/>
  <c r="C477" i="23"/>
  <c r="C478" i="23"/>
  <c r="C479" i="23"/>
  <c r="C480" i="23"/>
  <c r="C481" i="23"/>
  <c r="C482" i="23"/>
  <c r="C483" i="23"/>
  <c r="C484" i="23"/>
  <c r="C485" i="23"/>
  <c r="C486" i="23"/>
  <c r="C487" i="23"/>
  <c r="C488" i="23"/>
  <c r="C489" i="23"/>
  <c r="C490" i="23"/>
  <c r="C491" i="23"/>
  <c r="C492" i="23"/>
  <c r="C493" i="23"/>
  <c r="C494" i="23"/>
  <c r="C495" i="23"/>
  <c r="C496" i="23"/>
  <c r="C498" i="23"/>
  <c r="C497" i="23"/>
  <c r="C499" i="23"/>
  <c r="C500" i="23"/>
  <c r="C501" i="23"/>
  <c r="C502" i="23"/>
  <c r="C503" i="23"/>
  <c r="C504" i="23"/>
  <c r="C505" i="23"/>
  <c r="C506" i="23"/>
  <c r="C507" i="23"/>
  <c r="C508" i="23"/>
  <c r="C509" i="23"/>
  <c r="C510" i="23"/>
  <c r="C511" i="23"/>
  <c r="C512" i="23"/>
  <c r="C513" i="23"/>
  <c r="C514" i="23"/>
  <c r="C515" i="23"/>
  <c r="C516" i="23"/>
  <c r="C517" i="23"/>
  <c r="C518" i="23"/>
  <c r="C519" i="23"/>
  <c r="C520" i="23"/>
  <c r="C521" i="23"/>
  <c r="C522" i="23"/>
  <c r="C523" i="23"/>
  <c r="C524" i="23"/>
  <c r="C525" i="23"/>
  <c r="C526" i="23"/>
  <c r="C527" i="23"/>
  <c r="C528" i="23"/>
  <c r="C529" i="23"/>
  <c r="C530" i="23"/>
  <c r="C531" i="23"/>
  <c r="C534" i="23"/>
  <c r="C535" i="23"/>
  <c r="C536" i="23"/>
  <c r="C539" i="23"/>
  <c r="C540" i="23"/>
  <c r="C541" i="23"/>
  <c r="C542" i="23"/>
  <c r="C544" i="23"/>
  <c r="C545" i="23"/>
  <c r="C547" i="23"/>
  <c r="C548" i="23"/>
  <c r="C549" i="23"/>
  <c r="C551" i="23"/>
  <c r="C553" i="23"/>
  <c r="C554" i="23"/>
  <c r="C559" i="23"/>
  <c r="C560" i="23"/>
  <c r="C561" i="23"/>
  <c r="C562" i="23"/>
  <c r="C563" i="23"/>
  <c r="C568" i="23"/>
  <c r="C569" i="23"/>
  <c r="C570" i="23"/>
  <c r="C571" i="23"/>
  <c r="C572" i="23"/>
  <c r="C577" i="23"/>
  <c r="C580" i="23"/>
  <c r="C581" i="23"/>
  <c r="C582" i="23"/>
  <c r="C586" i="23"/>
  <c r="C587" i="23"/>
  <c r="C589" i="23"/>
  <c r="C590" i="23"/>
  <c r="C591" i="23"/>
  <c r="C594" i="23"/>
  <c r="C595" i="23"/>
  <c r="C596" i="23"/>
  <c r="C597" i="23"/>
  <c r="C598" i="23"/>
  <c r="C599" i="23"/>
  <c r="C600" i="23"/>
  <c r="C601" i="23"/>
  <c r="C603" i="23"/>
  <c r="C604" i="23"/>
  <c r="C605" i="23"/>
  <c r="C606" i="23"/>
  <c r="C607" i="23"/>
  <c r="C608" i="23"/>
  <c r="C609" i="23"/>
  <c r="C610" i="23"/>
  <c r="C611" i="23"/>
  <c r="C612" i="23"/>
  <c r="C613" i="23"/>
  <c r="C614" i="23"/>
  <c r="C615" i="23"/>
  <c r="C616" i="23"/>
  <c r="C617" i="23"/>
  <c r="C618" i="23"/>
  <c r="C619" i="23"/>
  <c r="C620" i="23"/>
  <c r="E531" i="23"/>
  <c r="B531" i="23" s="1"/>
  <c r="E528" i="23"/>
  <c r="B528" i="23" s="1"/>
  <c r="E523" i="23"/>
  <c r="B523" i="23" s="1"/>
  <c r="E23" i="23"/>
  <c r="B23" i="23" s="1"/>
  <c r="E22" i="23"/>
  <c r="B22" i="23" s="1"/>
  <c r="E21" i="23"/>
  <c r="B21" i="23" s="1"/>
  <c r="E20" i="23"/>
  <c r="B20" i="23" s="1"/>
  <c r="A46" i="21"/>
  <c r="H40" i="21"/>
  <c r="E518" i="23"/>
  <c r="B518" i="23" s="1"/>
  <c r="E516" i="23"/>
  <c r="B516" i="23" s="1"/>
  <c r="E513" i="23"/>
  <c r="B513" i="23" s="1"/>
  <c r="K69" i="13"/>
  <c r="K129" i="13"/>
  <c r="L69" i="13"/>
  <c r="L129" i="13"/>
  <c r="L68" i="13"/>
  <c r="L67" i="13"/>
  <c r="K68" i="13"/>
  <c r="K128" i="13"/>
  <c r="K127" i="13"/>
  <c r="H7" i="21"/>
  <c r="E220" i="23"/>
  <c r="B220" i="23" s="1"/>
  <c r="E510" i="23"/>
  <c r="B510" i="23" s="1"/>
  <c r="E63" i="23"/>
  <c r="B63" i="23" s="1"/>
  <c r="E72" i="23"/>
  <c r="B72" i="23" s="1"/>
  <c r="E508" i="23"/>
  <c r="B508" i="23" s="1"/>
  <c r="E504" i="23"/>
  <c r="B504" i="23" s="1"/>
  <c r="E356" i="23"/>
  <c r="B356" i="23" s="1"/>
  <c r="I4" i="21"/>
  <c r="E494" i="23"/>
  <c r="B494" i="23" s="1"/>
  <c r="E501" i="23"/>
  <c r="B501" i="23" s="1"/>
  <c r="AA31" i="21"/>
  <c r="E503" i="23"/>
  <c r="B503" i="23" s="1"/>
  <c r="E500" i="23"/>
  <c r="B500" i="23" s="1"/>
  <c r="X18" i="8"/>
  <c r="E331" i="23"/>
  <c r="B331" i="23" s="1"/>
  <c r="E498" i="23"/>
  <c r="B498" i="23" s="1"/>
  <c r="E502" i="23"/>
  <c r="B502" i="23" s="1"/>
  <c r="E499" i="23"/>
  <c r="B499" i="23" s="1"/>
  <c r="E496" i="23"/>
  <c r="B496" i="23" s="1"/>
  <c r="E468" i="23"/>
  <c r="B468" i="23" s="1"/>
  <c r="E73" i="23"/>
  <c r="B73" i="23" s="1"/>
  <c r="E329" i="23"/>
  <c r="B329" i="23" s="1"/>
  <c r="E326" i="23"/>
  <c r="B326" i="23" s="1"/>
  <c r="E290" i="23"/>
  <c r="B290" i="23" s="1"/>
  <c r="E287" i="23"/>
  <c r="B287" i="23" s="1"/>
  <c r="E253" i="23"/>
  <c r="B253" i="23" s="1"/>
  <c r="E249" i="23"/>
  <c r="B249" i="23" s="1"/>
  <c r="E90" i="23"/>
  <c r="B90" i="23" s="1"/>
  <c r="E511" i="23"/>
  <c r="B511" i="23" s="1"/>
  <c r="E492" i="23"/>
  <c r="B492" i="23" s="1"/>
  <c r="E70" i="23"/>
  <c r="B70" i="23" s="1"/>
  <c r="E482" i="23"/>
  <c r="B482" i="23" s="1"/>
  <c r="E495" i="23"/>
  <c r="B495" i="23" s="1"/>
  <c r="E65" i="23"/>
  <c r="B65" i="23" s="1"/>
  <c r="E517" i="23"/>
  <c r="B517" i="23" s="1"/>
  <c r="A5" i="21"/>
  <c r="E524" i="23"/>
  <c r="B524" i="23" s="1"/>
  <c r="E525" i="23"/>
  <c r="B525" i="23" s="1"/>
  <c r="E521" i="23"/>
  <c r="B521" i="23" s="1"/>
  <c r="E522" i="23"/>
  <c r="B522" i="23" s="1"/>
  <c r="E514" i="23"/>
  <c r="B514" i="23" s="1"/>
  <c r="E31" i="23"/>
  <c r="B31" i="23" s="1"/>
  <c r="E489" i="23"/>
  <c r="B489" i="23" s="1"/>
  <c r="E509" i="23"/>
  <c r="B509" i="23" s="1"/>
  <c r="E507" i="23"/>
  <c r="B507" i="23" s="1"/>
  <c r="E506" i="23"/>
  <c r="B506" i="23" s="1"/>
  <c r="E4" i="23"/>
  <c r="B4" i="23" s="1"/>
  <c r="E6" i="23"/>
  <c r="B6" i="23" s="1"/>
  <c r="E7" i="23"/>
  <c r="B7" i="23" s="1"/>
  <c r="E8" i="23"/>
  <c r="B8" i="23" s="1"/>
  <c r="E9" i="23"/>
  <c r="B9" i="23" s="1"/>
  <c r="E10" i="23"/>
  <c r="B10" i="23" s="1"/>
  <c r="E11" i="23"/>
  <c r="B11" i="23" s="1"/>
  <c r="E13" i="23"/>
  <c r="B13" i="23" s="1"/>
  <c r="E14" i="23"/>
  <c r="B14" i="23" s="1"/>
  <c r="E15" i="23"/>
  <c r="B15" i="23" s="1"/>
  <c r="E16" i="23"/>
  <c r="B16" i="23" s="1"/>
  <c r="E18" i="23"/>
  <c r="B18" i="23" s="1"/>
  <c r="E19" i="23"/>
  <c r="B19" i="23" s="1"/>
  <c r="E24" i="23"/>
  <c r="B24" i="23" s="1"/>
  <c r="E25" i="23"/>
  <c r="B25" i="23" s="1"/>
  <c r="E26" i="23"/>
  <c r="B26" i="23" s="1"/>
  <c r="E27" i="23"/>
  <c r="B27" i="23" s="1"/>
  <c r="E28" i="23"/>
  <c r="B28" i="23" s="1"/>
  <c r="E29" i="23"/>
  <c r="B29" i="23" s="1"/>
  <c r="E30" i="23"/>
  <c r="B30" i="23" s="1"/>
  <c r="E215" i="23"/>
  <c r="B215" i="23" s="1"/>
  <c r="E5" i="23"/>
  <c r="B5" i="23" s="1"/>
  <c r="E32" i="23"/>
  <c r="B32" i="23" s="1"/>
  <c r="E33" i="23"/>
  <c r="B33" i="23" s="1"/>
  <c r="E34" i="23"/>
  <c r="B34" i="23" s="1"/>
  <c r="E35" i="23"/>
  <c r="B35" i="23" s="1"/>
  <c r="E36" i="23"/>
  <c r="B36" i="23" s="1"/>
  <c r="E37" i="23"/>
  <c r="B37" i="23" s="1"/>
  <c r="E38" i="23"/>
  <c r="B38" i="23" s="1"/>
  <c r="E39" i="23"/>
  <c r="B39" i="23" s="1"/>
  <c r="E40" i="23"/>
  <c r="B40" i="23" s="1"/>
  <c r="E41" i="23"/>
  <c r="B41" i="23" s="1"/>
  <c r="E42" i="23"/>
  <c r="B42" i="23" s="1"/>
  <c r="E43" i="23"/>
  <c r="B43" i="23" s="1"/>
  <c r="E44" i="23"/>
  <c r="B44" i="23" s="1"/>
  <c r="E45" i="23"/>
  <c r="B45" i="23" s="1"/>
  <c r="E46" i="23"/>
  <c r="B46" i="23" s="1"/>
  <c r="E47" i="23"/>
  <c r="B47" i="23" s="1"/>
  <c r="E48" i="23"/>
  <c r="B48" i="23" s="1"/>
  <c r="E49" i="23"/>
  <c r="B49" i="23" s="1"/>
  <c r="E50" i="23"/>
  <c r="B50" i="23" s="1"/>
  <c r="E51" i="23"/>
  <c r="B51" i="23" s="1"/>
  <c r="E52" i="23"/>
  <c r="B52" i="23" s="1"/>
  <c r="E53" i="23"/>
  <c r="B53" i="23" s="1"/>
  <c r="E54" i="23"/>
  <c r="B54" i="23" s="1"/>
  <c r="E55" i="23"/>
  <c r="B55" i="23" s="1"/>
  <c r="E56" i="23"/>
  <c r="B56" i="23" s="1"/>
  <c r="E57" i="23"/>
  <c r="B57" i="23" s="1"/>
  <c r="E58" i="23"/>
  <c r="B58" i="23" s="1"/>
  <c r="E59" i="23"/>
  <c r="B59" i="23" s="1"/>
  <c r="E60" i="23"/>
  <c r="B60" i="23" s="1"/>
  <c r="E61" i="23"/>
  <c r="B61" i="23" s="1"/>
  <c r="E62" i="23"/>
  <c r="B62" i="23" s="1"/>
  <c r="E64" i="23"/>
  <c r="B64" i="23" s="1"/>
  <c r="E68" i="23"/>
  <c r="B68" i="23" s="1"/>
  <c r="E76" i="23"/>
  <c r="B76" i="23" s="1"/>
  <c r="E77" i="23"/>
  <c r="B77" i="23" s="1"/>
  <c r="E79" i="23"/>
  <c r="B79" i="23" s="1"/>
  <c r="E80" i="23"/>
  <c r="B80" i="23" s="1"/>
  <c r="E81" i="23"/>
  <c r="B81" i="23" s="1"/>
  <c r="E82" i="23"/>
  <c r="B82" i="23" s="1"/>
  <c r="E84" i="23"/>
  <c r="B84" i="23" s="1"/>
  <c r="E86" i="23"/>
  <c r="B86" i="23" s="1"/>
  <c r="E88" i="23"/>
  <c r="B88" i="23"/>
  <c r="E89" i="23"/>
  <c r="B89" i="23" s="1"/>
  <c r="E92" i="23"/>
  <c r="B92" i="23" s="1"/>
  <c r="E93" i="23"/>
  <c r="B93" i="23" s="1"/>
  <c r="E94" i="23"/>
  <c r="B94" i="23" s="1"/>
  <c r="E95" i="23"/>
  <c r="B95" i="23" s="1"/>
  <c r="E96" i="23"/>
  <c r="B96" i="23" s="1"/>
  <c r="E97" i="23"/>
  <c r="B97" i="23" s="1"/>
  <c r="E98" i="23"/>
  <c r="B98" i="23" s="1"/>
  <c r="E99" i="23"/>
  <c r="B99" i="23" s="1"/>
  <c r="E100" i="23"/>
  <c r="B100" i="23" s="1"/>
  <c r="E101" i="23"/>
  <c r="B101" i="23" s="1"/>
  <c r="E102" i="23"/>
  <c r="B102" i="23" s="1"/>
  <c r="E103" i="23"/>
  <c r="B103" i="23" s="1"/>
  <c r="E104" i="23"/>
  <c r="B104" i="23" s="1"/>
  <c r="E105" i="23"/>
  <c r="B105" i="23" s="1"/>
  <c r="E106" i="23"/>
  <c r="B106" i="23" s="1"/>
  <c r="E107" i="23"/>
  <c r="B107" i="23" s="1"/>
  <c r="E108" i="23"/>
  <c r="B108" i="23" s="1"/>
  <c r="E109" i="23"/>
  <c r="B109" i="23" s="1"/>
  <c r="E110" i="23"/>
  <c r="B110" i="23" s="1"/>
  <c r="E111" i="23"/>
  <c r="B111" i="23" s="1"/>
  <c r="E112" i="23"/>
  <c r="B112" i="23" s="1"/>
  <c r="E113" i="23"/>
  <c r="B113" i="23" s="1"/>
  <c r="E114" i="23"/>
  <c r="B114" i="23" s="1"/>
  <c r="E115" i="23"/>
  <c r="B115" i="23" s="1"/>
  <c r="E116" i="23"/>
  <c r="B116" i="23" s="1"/>
  <c r="E117" i="23"/>
  <c r="B117" i="23" s="1"/>
  <c r="E118" i="23"/>
  <c r="B118" i="23" s="1"/>
  <c r="E119" i="23"/>
  <c r="B119" i="23" s="1"/>
  <c r="E120" i="23"/>
  <c r="B120" i="23" s="1"/>
  <c r="E121" i="23"/>
  <c r="B121" i="23" s="1"/>
  <c r="E122" i="23"/>
  <c r="B122" i="23" s="1"/>
  <c r="E123" i="23"/>
  <c r="B123" i="23" s="1"/>
  <c r="E124" i="23"/>
  <c r="B124" i="23" s="1"/>
  <c r="E125" i="23"/>
  <c r="B125" i="23" s="1"/>
  <c r="E126" i="23"/>
  <c r="B126" i="23" s="1"/>
  <c r="E127" i="23"/>
  <c r="B127" i="23" s="1"/>
  <c r="E128" i="23"/>
  <c r="B128" i="23" s="1"/>
  <c r="E129" i="23"/>
  <c r="B129" i="23" s="1"/>
  <c r="E133" i="23"/>
  <c r="B133" i="23" s="1"/>
  <c r="E134" i="23"/>
  <c r="B134" i="23" s="1"/>
  <c r="E135" i="23"/>
  <c r="B135" i="23" s="1"/>
  <c r="E136" i="23"/>
  <c r="B136" i="23" s="1"/>
  <c r="E137" i="23"/>
  <c r="B137" i="23" s="1"/>
  <c r="E138" i="23"/>
  <c r="B138" i="23" s="1"/>
  <c r="E139" i="23"/>
  <c r="B139" i="23" s="1"/>
  <c r="E140" i="23"/>
  <c r="B140" i="23" s="1"/>
  <c r="E141" i="23"/>
  <c r="B141" i="23" s="1"/>
  <c r="E142" i="23"/>
  <c r="B142" i="23" s="1"/>
  <c r="E144" i="23"/>
  <c r="B144" i="23" s="1"/>
  <c r="E145" i="23"/>
  <c r="B145" i="23" s="1"/>
  <c r="E146" i="23"/>
  <c r="B146" i="23" s="1"/>
  <c r="E147" i="23"/>
  <c r="B147" i="23" s="1"/>
  <c r="E148" i="23"/>
  <c r="B148" i="23" s="1"/>
  <c r="E149" i="23"/>
  <c r="B149" i="23" s="1"/>
  <c r="E150" i="23"/>
  <c r="B150" i="23" s="1"/>
  <c r="E151" i="23"/>
  <c r="B151" i="23" s="1"/>
  <c r="E152" i="23"/>
  <c r="B152" i="23" s="1"/>
  <c r="E153" i="23"/>
  <c r="B153" i="23" s="1"/>
  <c r="E154" i="23"/>
  <c r="B154" i="23" s="1"/>
  <c r="E156" i="23"/>
  <c r="B156" i="23" s="1"/>
  <c r="E157" i="23"/>
  <c r="B157" i="23" s="1"/>
  <c r="E158" i="23"/>
  <c r="B158" i="23" s="1"/>
  <c r="E160" i="23"/>
  <c r="B160" i="23" s="1"/>
  <c r="E161" i="23"/>
  <c r="B161" i="23" s="1"/>
  <c r="E163" i="23"/>
  <c r="B163" i="23" s="1"/>
  <c r="E164" i="23"/>
  <c r="B164" i="23" s="1"/>
  <c r="E167" i="23"/>
  <c r="B167" i="23" s="1"/>
  <c r="E170" i="23"/>
  <c r="B170" i="23" s="1"/>
  <c r="E171" i="23"/>
  <c r="B171" i="23" s="1"/>
  <c r="E172" i="23"/>
  <c r="B172" i="23" s="1"/>
  <c r="E173" i="23"/>
  <c r="B173" i="23" s="1"/>
  <c r="E174" i="23"/>
  <c r="B174" i="23" s="1"/>
  <c r="E175" i="23"/>
  <c r="B175" i="23" s="1"/>
  <c r="E176" i="23"/>
  <c r="B176" i="23" s="1"/>
  <c r="E177" i="23"/>
  <c r="B177" i="23" s="1"/>
  <c r="E178" i="23"/>
  <c r="B178" i="23" s="1"/>
  <c r="E179" i="23"/>
  <c r="B179" i="23" s="1"/>
  <c r="E180" i="23"/>
  <c r="B180" i="23" s="1"/>
  <c r="E182" i="23"/>
  <c r="B182" i="23" s="1"/>
  <c r="E183" i="23"/>
  <c r="B183" i="23" s="1"/>
  <c r="E184" i="23"/>
  <c r="B184" i="23" s="1"/>
  <c r="E185" i="23"/>
  <c r="B185" i="23" s="1"/>
  <c r="E186" i="23"/>
  <c r="B186" i="23" s="1"/>
  <c r="E187" i="23"/>
  <c r="B187" i="23" s="1"/>
  <c r="E188" i="23"/>
  <c r="B188" i="23" s="1"/>
  <c r="E189" i="23"/>
  <c r="B189" i="23" s="1"/>
  <c r="E190" i="23"/>
  <c r="B190" i="23" s="1"/>
  <c r="E192" i="23"/>
  <c r="B192" i="23" s="1"/>
  <c r="E194" i="23"/>
  <c r="B194" i="23" s="1"/>
  <c r="E195" i="23"/>
  <c r="B195" i="23" s="1"/>
  <c r="E196" i="23"/>
  <c r="B196" i="23" s="1"/>
  <c r="E197" i="23"/>
  <c r="B197" i="23" s="1"/>
  <c r="E198" i="23"/>
  <c r="B198" i="23" s="1"/>
  <c r="E199" i="23"/>
  <c r="B199" i="23" s="1"/>
  <c r="E201" i="23"/>
  <c r="B201" i="23" s="1"/>
  <c r="E202" i="23"/>
  <c r="B202" i="23" s="1"/>
  <c r="E203" i="23"/>
  <c r="B203" i="23" s="1"/>
  <c r="E204" i="23"/>
  <c r="B204" i="23" s="1"/>
  <c r="E206" i="23"/>
  <c r="B206" i="23" s="1"/>
  <c r="E207" i="23"/>
  <c r="B207" i="23" s="1"/>
  <c r="E208" i="23"/>
  <c r="B208" i="23" s="1"/>
  <c r="E209" i="23"/>
  <c r="B209" i="23" s="1"/>
  <c r="E211" i="23"/>
  <c r="B211" i="23" s="1"/>
  <c r="E212" i="23"/>
  <c r="B212" i="23" s="1"/>
  <c r="E213" i="23"/>
  <c r="B213" i="23" s="1"/>
  <c r="E214" i="23"/>
  <c r="B214" i="23" s="1"/>
  <c r="E216" i="23"/>
  <c r="B216" i="23" s="1"/>
  <c r="E217" i="23"/>
  <c r="B217" i="23" s="1"/>
  <c r="E218" i="23"/>
  <c r="B218" i="23" s="1"/>
  <c r="E219" i="23"/>
  <c r="B219" i="23" s="1"/>
  <c r="E221" i="23"/>
  <c r="B221" i="23" s="1"/>
  <c r="E222" i="23"/>
  <c r="B222" i="23" s="1"/>
  <c r="E223" i="23"/>
  <c r="B223" i="23" s="1"/>
  <c r="E224" i="23"/>
  <c r="B224" i="23" s="1"/>
  <c r="E225" i="23"/>
  <c r="B225" i="23" s="1"/>
  <c r="E226" i="23"/>
  <c r="B226" i="23" s="1"/>
  <c r="E227" i="23"/>
  <c r="B227" i="23" s="1"/>
  <c r="E229" i="23"/>
  <c r="B229" i="23" s="1"/>
  <c r="E230" i="23"/>
  <c r="B230" i="23" s="1"/>
  <c r="E231" i="23"/>
  <c r="B231" i="23" s="1"/>
  <c r="E232" i="23"/>
  <c r="B232" i="23" s="1"/>
  <c r="E233" i="23"/>
  <c r="B233" i="23" s="1"/>
  <c r="E234" i="23"/>
  <c r="B234" i="23" s="1"/>
  <c r="E235" i="23"/>
  <c r="B235" i="23" s="1"/>
  <c r="E236" i="23"/>
  <c r="B236" i="23" s="1"/>
  <c r="E237" i="23"/>
  <c r="B237" i="23" s="1"/>
  <c r="E238" i="23"/>
  <c r="B238" i="23" s="1"/>
  <c r="E239" i="23"/>
  <c r="B239" i="23" s="1"/>
  <c r="E240" i="23"/>
  <c r="B240" i="23" s="1"/>
  <c r="E241" i="23"/>
  <c r="B241" i="23" s="1"/>
  <c r="E242" i="23"/>
  <c r="B242" i="23" s="1"/>
  <c r="E243" i="23"/>
  <c r="B243" i="23" s="1"/>
  <c r="E244" i="23"/>
  <c r="B244" i="23" s="1"/>
  <c r="E245" i="23"/>
  <c r="B245" i="23" s="1"/>
  <c r="E246" i="23"/>
  <c r="B246" i="23" s="1"/>
  <c r="E247" i="23"/>
  <c r="B247" i="23" s="1"/>
  <c r="E248" i="23"/>
  <c r="B248" i="23" s="1"/>
  <c r="E250" i="23"/>
  <c r="B250" i="23" s="1"/>
  <c r="E251" i="23"/>
  <c r="B251" i="23" s="1"/>
  <c r="E252" i="23"/>
  <c r="B252" i="23" s="1"/>
  <c r="E254" i="23"/>
  <c r="B254" i="23" s="1"/>
  <c r="E255" i="23"/>
  <c r="B255" i="23" s="1"/>
  <c r="E256" i="23"/>
  <c r="B256" i="23" s="1"/>
  <c r="E257" i="23"/>
  <c r="B257" i="23" s="1"/>
  <c r="E260" i="23"/>
  <c r="B260" i="23" s="1"/>
  <c r="E261" i="23"/>
  <c r="B261" i="23" s="1"/>
  <c r="E262" i="23"/>
  <c r="B262" i="23" s="1"/>
  <c r="E263" i="23"/>
  <c r="B263" i="23" s="1"/>
  <c r="E264" i="23"/>
  <c r="B264" i="23" s="1"/>
  <c r="E265" i="23"/>
  <c r="B265" i="23" s="1"/>
  <c r="E266" i="23"/>
  <c r="B266" i="23" s="1"/>
  <c r="E267" i="23"/>
  <c r="B267" i="23" s="1"/>
  <c r="E268" i="23"/>
  <c r="B268" i="23" s="1"/>
  <c r="E269" i="23"/>
  <c r="B269" i="23" s="1"/>
  <c r="E271" i="23"/>
  <c r="B271" i="23" s="1"/>
  <c r="E272" i="23"/>
  <c r="B272" i="23" s="1"/>
  <c r="E273" i="23"/>
  <c r="B273" i="23" s="1"/>
  <c r="E274" i="23"/>
  <c r="B274" i="23" s="1"/>
  <c r="E275" i="23"/>
  <c r="B275" i="23" s="1"/>
  <c r="E276" i="23"/>
  <c r="B276" i="23" s="1"/>
  <c r="E277" i="23"/>
  <c r="B277" i="23" s="1"/>
  <c r="E278" i="23"/>
  <c r="B278" i="23" s="1"/>
  <c r="E279" i="23"/>
  <c r="B279" i="23" s="1"/>
  <c r="E280" i="23"/>
  <c r="B280" i="23" s="1"/>
  <c r="E281" i="23"/>
  <c r="B281" i="23" s="1"/>
  <c r="E282" i="23"/>
  <c r="B282" i="23" s="1"/>
  <c r="E283" i="23"/>
  <c r="B283" i="23" s="1"/>
  <c r="E284" i="23"/>
  <c r="B284" i="23" s="1"/>
  <c r="E285" i="23"/>
  <c r="B285" i="23" s="1"/>
  <c r="E286" i="23"/>
  <c r="B286" i="23" s="1"/>
  <c r="E288" i="23"/>
  <c r="B288" i="23" s="1"/>
  <c r="E289" i="23"/>
  <c r="B289" i="23" s="1"/>
  <c r="E291" i="23"/>
  <c r="B291" i="23" s="1"/>
  <c r="E292" i="23"/>
  <c r="B292" i="23" s="1"/>
  <c r="E293" i="23"/>
  <c r="B293" i="23" s="1"/>
  <c r="E294" i="23"/>
  <c r="B294" i="23" s="1"/>
  <c r="E295" i="23"/>
  <c r="B295" i="23" s="1"/>
  <c r="E296" i="23"/>
  <c r="B296" i="23" s="1"/>
  <c r="E297" i="23"/>
  <c r="B297" i="23" s="1"/>
  <c r="E298" i="23"/>
  <c r="B298" i="23" s="1"/>
  <c r="E299" i="23"/>
  <c r="B299" i="23" s="1"/>
  <c r="E300" i="23"/>
  <c r="B300" i="23" s="1"/>
  <c r="E301" i="23"/>
  <c r="B301" i="23" s="1"/>
  <c r="E302" i="23"/>
  <c r="B302" i="23" s="1"/>
  <c r="E303" i="23"/>
  <c r="B303" i="23" s="1"/>
  <c r="E304" i="23"/>
  <c r="B304" i="23" s="1"/>
  <c r="E305" i="23"/>
  <c r="B305" i="23" s="1"/>
  <c r="E306" i="23"/>
  <c r="B306" i="23" s="1"/>
  <c r="E307" i="23"/>
  <c r="B307" i="23" s="1"/>
  <c r="E308" i="23"/>
  <c r="B308" i="23" s="1"/>
  <c r="E309" i="23"/>
  <c r="B309" i="23" s="1"/>
  <c r="E310" i="23"/>
  <c r="B310" i="23" s="1"/>
  <c r="E311" i="23"/>
  <c r="B311" i="23" s="1"/>
  <c r="E312" i="23"/>
  <c r="B312" i="23" s="1"/>
  <c r="E313" i="23"/>
  <c r="B313" i="23" s="1"/>
  <c r="E315" i="23"/>
  <c r="B315" i="23" s="1"/>
  <c r="E317" i="23"/>
  <c r="B317" i="23" s="1"/>
  <c r="E318" i="23"/>
  <c r="B318" i="23" s="1"/>
  <c r="E319" i="23"/>
  <c r="B319" i="23" s="1"/>
  <c r="E320" i="23"/>
  <c r="B320" i="23" s="1"/>
  <c r="E321" i="23"/>
  <c r="B321" i="23" s="1"/>
  <c r="E322" i="23"/>
  <c r="B322" i="23" s="1"/>
  <c r="E324" i="23"/>
  <c r="B324" i="23" s="1"/>
  <c r="E325" i="23"/>
  <c r="B325" i="23" s="1"/>
  <c r="E327" i="23"/>
  <c r="B327" i="23" s="1"/>
  <c r="E328" i="23"/>
  <c r="B328" i="23" s="1"/>
  <c r="E330" i="23"/>
  <c r="B330" i="23" s="1"/>
  <c r="E332" i="23"/>
  <c r="B332" i="23" s="1"/>
  <c r="E333" i="23"/>
  <c r="B333" i="23" s="1"/>
  <c r="E334" i="23"/>
  <c r="B334" i="23" s="1"/>
  <c r="E335" i="23"/>
  <c r="B335" i="23" s="1"/>
  <c r="E336" i="23"/>
  <c r="B336" i="23" s="1"/>
  <c r="E337" i="23"/>
  <c r="B337" i="23" s="1"/>
  <c r="E338" i="23"/>
  <c r="B338" i="23" s="1"/>
  <c r="E339" i="23"/>
  <c r="B339" i="23" s="1"/>
  <c r="E340" i="23"/>
  <c r="B340" i="23" s="1"/>
  <c r="E341" i="23"/>
  <c r="B341" i="23" s="1"/>
  <c r="E342" i="23"/>
  <c r="B342" i="23" s="1"/>
  <c r="E343" i="23"/>
  <c r="B343" i="23" s="1"/>
  <c r="E344" i="23"/>
  <c r="B344" i="23" s="1"/>
  <c r="E345" i="23"/>
  <c r="B345" i="23" s="1"/>
  <c r="E346" i="23"/>
  <c r="B346" i="23" s="1"/>
  <c r="E347" i="23"/>
  <c r="B347" i="23" s="1"/>
  <c r="E348" i="23"/>
  <c r="B348" i="23" s="1"/>
  <c r="E349" i="23"/>
  <c r="B349" i="23" s="1"/>
  <c r="E350" i="23"/>
  <c r="B350" i="23" s="1"/>
  <c r="E351" i="23"/>
  <c r="B351" i="23" s="1"/>
  <c r="E352" i="23"/>
  <c r="B352" i="23" s="1"/>
  <c r="E353" i="23"/>
  <c r="B353" i="23"/>
  <c r="E354" i="23"/>
  <c r="B354" i="23" s="1"/>
  <c r="E355" i="23"/>
  <c r="B355" i="23"/>
  <c r="E357" i="23"/>
  <c r="B357" i="23" s="1"/>
  <c r="E358" i="23"/>
  <c r="B358" i="23" s="1"/>
  <c r="E359" i="23"/>
  <c r="B359" i="23" s="1"/>
  <c r="E360" i="23"/>
  <c r="B360" i="23" s="1"/>
  <c r="E361" i="23"/>
  <c r="B361" i="23" s="1"/>
  <c r="E362" i="23"/>
  <c r="B362" i="23" s="1"/>
  <c r="E363" i="23"/>
  <c r="B363" i="23" s="1"/>
  <c r="E364" i="23"/>
  <c r="B364" i="23" s="1"/>
  <c r="E365" i="23"/>
  <c r="B365" i="23" s="1"/>
  <c r="E366" i="23"/>
  <c r="B366" i="23" s="1"/>
  <c r="E367" i="23"/>
  <c r="B367" i="23" s="1"/>
  <c r="E368" i="23"/>
  <c r="B368" i="23" s="1"/>
  <c r="E369" i="23"/>
  <c r="B369" i="23" s="1"/>
  <c r="E370" i="23"/>
  <c r="B370" i="23" s="1"/>
  <c r="E371" i="23"/>
  <c r="B371" i="23" s="1"/>
  <c r="E372" i="23"/>
  <c r="B372" i="23" s="1"/>
  <c r="E373" i="23"/>
  <c r="B373" i="23" s="1"/>
  <c r="E374" i="23"/>
  <c r="B374" i="23" s="1"/>
  <c r="E375" i="23"/>
  <c r="B375" i="23" s="1"/>
  <c r="E376" i="23"/>
  <c r="B376" i="23" s="1"/>
  <c r="E377" i="23"/>
  <c r="B377" i="23" s="1"/>
  <c r="E378" i="23"/>
  <c r="B378" i="23" s="1"/>
  <c r="E379" i="23"/>
  <c r="B379" i="23" s="1"/>
  <c r="E380" i="23"/>
  <c r="B380" i="23" s="1"/>
  <c r="E381" i="23"/>
  <c r="B381" i="23" s="1"/>
  <c r="E382" i="23"/>
  <c r="B382" i="23" s="1"/>
  <c r="E383" i="23"/>
  <c r="B383" i="23" s="1"/>
  <c r="E384" i="23"/>
  <c r="B384" i="23" s="1"/>
  <c r="E385" i="23"/>
  <c r="B385" i="23" s="1"/>
  <c r="E386" i="23"/>
  <c r="B386" i="23" s="1"/>
  <c r="E387" i="23"/>
  <c r="B387" i="23" s="1"/>
  <c r="E388" i="23"/>
  <c r="B388" i="23" s="1"/>
  <c r="E389" i="23"/>
  <c r="B389" i="23" s="1"/>
  <c r="E390" i="23"/>
  <c r="B390" i="23" s="1"/>
  <c r="E391" i="23"/>
  <c r="B391" i="23" s="1"/>
  <c r="E392" i="23"/>
  <c r="B392" i="23" s="1"/>
  <c r="E393" i="23"/>
  <c r="B393" i="23" s="1"/>
  <c r="E394" i="23"/>
  <c r="B394" i="23" s="1"/>
  <c r="E395" i="23"/>
  <c r="B395" i="23" s="1"/>
  <c r="E396" i="23"/>
  <c r="B396" i="23" s="1"/>
  <c r="E397" i="23"/>
  <c r="B397" i="23" s="1"/>
  <c r="E398" i="23"/>
  <c r="B398" i="23" s="1"/>
  <c r="E399" i="23"/>
  <c r="B399" i="23" s="1"/>
  <c r="E400" i="23"/>
  <c r="B400" i="23" s="1"/>
  <c r="E401" i="23"/>
  <c r="B401" i="23" s="1"/>
  <c r="E402" i="23"/>
  <c r="B402" i="23" s="1"/>
  <c r="E403" i="23"/>
  <c r="B403" i="23" s="1"/>
  <c r="E404" i="23"/>
  <c r="B404" i="23" s="1"/>
  <c r="E405" i="23"/>
  <c r="B405" i="23" s="1"/>
  <c r="E406" i="23"/>
  <c r="B406" i="23" s="1"/>
  <c r="E407" i="23"/>
  <c r="B407" i="23" s="1"/>
  <c r="E408" i="23"/>
  <c r="B408" i="23" s="1"/>
  <c r="E409" i="23"/>
  <c r="B409" i="23" s="1"/>
  <c r="E410" i="23"/>
  <c r="B410" i="23" s="1"/>
  <c r="E411" i="23"/>
  <c r="B411" i="23" s="1"/>
  <c r="E412" i="23"/>
  <c r="B412" i="23"/>
  <c r="E413" i="23"/>
  <c r="B413" i="23" s="1"/>
  <c r="E414" i="23"/>
  <c r="B414" i="23" s="1"/>
  <c r="E415" i="23"/>
  <c r="B415" i="23" s="1"/>
  <c r="E416" i="23"/>
  <c r="B416" i="23" s="1"/>
  <c r="E417" i="23"/>
  <c r="B417" i="23" s="1"/>
  <c r="E418" i="23"/>
  <c r="B418" i="23" s="1"/>
  <c r="E419" i="23"/>
  <c r="B419" i="23" s="1"/>
  <c r="E420" i="23"/>
  <c r="B420" i="23" s="1"/>
  <c r="E421" i="23"/>
  <c r="B421" i="23" s="1"/>
  <c r="E422" i="23"/>
  <c r="B422" i="23" s="1"/>
  <c r="E423" i="23"/>
  <c r="B423" i="23" s="1"/>
  <c r="E424" i="23"/>
  <c r="B424" i="23" s="1"/>
  <c r="E425" i="23"/>
  <c r="B425" i="23" s="1"/>
  <c r="E426" i="23"/>
  <c r="B426" i="23" s="1"/>
  <c r="E427" i="23"/>
  <c r="B427" i="23" s="1"/>
  <c r="E428" i="23"/>
  <c r="B428" i="23" s="1"/>
  <c r="E429" i="23"/>
  <c r="B429" i="23" s="1"/>
  <c r="E430" i="23"/>
  <c r="B430" i="23"/>
  <c r="E431" i="23"/>
  <c r="B431" i="23" s="1"/>
  <c r="E432" i="23"/>
  <c r="B432" i="23" s="1"/>
  <c r="E433" i="23"/>
  <c r="B433" i="23" s="1"/>
  <c r="E434" i="23"/>
  <c r="B434" i="23" s="1"/>
  <c r="E435" i="23"/>
  <c r="B435" i="23" s="1"/>
  <c r="E436" i="23"/>
  <c r="B436" i="23" s="1"/>
  <c r="E437" i="23"/>
  <c r="B437" i="23" s="1"/>
  <c r="E438" i="23"/>
  <c r="B438" i="23" s="1"/>
  <c r="E439" i="23"/>
  <c r="B439" i="23" s="1"/>
  <c r="E440" i="23"/>
  <c r="B440" i="23" s="1"/>
  <c r="E441" i="23"/>
  <c r="B441" i="23" s="1"/>
  <c r="E442" i="23"/>
  <c r="B442" i="23" s="1"/>
  <c r="E443" i="23"/>
  <c r="B443" i="23" s="1"/>
  <c r="E444" i="23"/>
  <c r="B444" i="23" s="1"/>
  <c r="E445" i="23"/>
  <c r="B445" i="23" s="1"/>
  <c r="E446" i="23"/>
  <c r="B446" i="23" s="1"/>
  <c r="E447" i="23"/>
  <c r="B447" i="23" s="1"/>
  <c r="E448" i="23"/>
  <c r="B448" i="23" s="1"/>
  <c r="E449" i="23"/>
  <c r="B449" i="23" s="1"/>
  <c r="E450" i="23"/>
  <c r="B450" i="23" s="1"/>
  <c r="E451" i="23"/>
  <c r="B451" i="23" s="1"/>
  <c r="E452" i="23"/>
  <c r="B452" i="23" s="1"/>
  <c r="E453" i="23"/>
  <c r="B453" i="23" s="1"/>
  <c r="E454" i="23"/>
  <c r="B454" i="23" s="1"/>
  <c r="E455" i="23"/>
  <c r="B455" i="23" s="1"/>
  <c r="E456" i="23"/>
  <c r="B456" i="23" s="1"/>
  <c r="E457" i="23"/>
  <c r="B457" i="23" s="1"/>
  <c r="E459" i="23"/>
  <c r="B459" i="23" s="1"/>
  <c r="E460" i="23"/>
  <c r="B460" i="23" s="1"/>
  <c r="E461" i="23"/>
  <c r="B461" i="23" s="1"/>
  <c r="E462" i="23"/>
  <c r="B462" i="23" s="1"/>
  <c r="E463" i="23"/>
  <c r="B463" i="23" s="1"/>
  <c r="E464" i="23"/>
  <c r="B464" i="23" s="1"/>
  <c r="E465" i="23"/>
  <c r="B465" i="23" s="1"/>
  <c r="E466" i="23"/>
  <c r="B466" i="23" s="1"/>
  <c r="E467" i="23"/>
  <c r="B467" i="23" s="1"/>
  <c r="E469" i="23"/>
  <c r="B469" i="23" s="1"/>
  <c r="E470" i="23"/>
  <c r="B470" i="23" s="1"/>
  <c r="E471" i="23"/>
  <c r="B471" i="23" s="1"/>
  <c r="E472" i="23"/>
  <c r="B472" i="23" s="1"/>
  <c r="E473" i="23"/>
  <c r="B473" i="23" s="1"/>
  <c r="E474" i="23"/>
  <c r="B474" i="23" s="1"/>
  <c r="E475" i="23"/>
  <c r="B475" i="23" s="1"/>
  <c r="E476" i="23"/>
  <c r="B476" i="23" s="1"/>
  <c r="E477" i="23"/>
  <c r="B477" i="23" s="1"/>
  <c r="E478" i="23"/>
  <c r="B478" i="23" s="1"/>
  <c r="E479" i="23"/>
  <c r="B479" i="23" s="1"/>
  <c r="E480" i="23"/>
  <c r="B480" i="23" s="1"/>
  <c r="E481" i="23"/>
  <c r="B481" i="23" s="1"/>
  <c r="E483" i="23"/>
  <c r="B483" i="23" s="1"/>
  <c r="E485" i="23"/>
  <c r="B485" i="23" s="1"/>
  <c r="E486" i="23"/>
  <c r="B486" i="23" s="1"/>
  <c r="E488" i="23"/>
  <c r="B488" i="23" s="1"/>
  <c r="E490" i="23"/>
  <c r="B490" i="23" s="1"/>
  <c r="E491" i="23"/>
  <c r="B491" i="23" s="1"/>
  <c r="E493" i="23"/>
  <c r="B493" i="23" s="1"/>
  <c r="E497" i="23"/>
  <c r="B497" i="23" s="1"/>
  <c r="E512" i="23"/>
  <c r="B512" i="23" s="1"/>
  <c r="E515" i="23"/>
  <c r="B515" i="23" s="1"/>
  <c r="E519" i="23"/>
  <c r="B519" i="23" s="1"/>
  <c r="E520" i="23"/>
  <c r="B520" i="23" s="1"/>
  <c r="E526" i="23"/>
  <c r="B526" i="23" s="1"/>
  <c r="E527" i="23"/>
  <c r="B527" i="23" s="1"/>
  <c r="E529" i="23"/>
  <c r="B529" i="23" s="1"/>
  <c r="E530" i="23"/>
  <c r="B530" i="23" s="1"/>
  <c r="E534" i="23"/>
  <c r="B534" i="23" s="1"/>
  <c r="E535" i="23"/>
  <c r="B535" i="23" s="1"/>
  <c r="E536" i="23"/>
  <c r="B536" i="23" s="1"/>
  <c r="E539" i="23"/>
  <c r="B539" i="23" s="1"/>
  <c r="E540" i="23"/>
  <c r="B540" i="23" s="1"/>
  <c r="E541" i="23"/>
  <c r="B541" i="23" s="1"/>
  <c r="E542" i="23"/>
  <c r="B542" i="23" s="1"/>
  <c r="E544" i="23"/>
  <c r="B544" i="23" s="1"/>
  <c r="E545" i="23"/>
  <c r="B545" i="23" s="1"/>
  <c r="E547" i="23"/>
  <c r="B547" i="23" s="1"/>
  <c r="E548" i="23"/>
  <c r="B548" i="23" s="1"/>
  <c r="E549" i="23"/>
  <c r="B549" i="23" s="1"/>
  <c r="E551" i="23"/>
  <c r="B551" i="23" s="1"/>
  <c r="E553" i="23"/>
  <c r="B553" i="23" s="1"/>
  <c r="E554" i="23"/>
  <c r="B554" i="23" s="1"/>
  <c r="E559" i="23"/>
  <c r="B559" i="23" s="1"/>
  <c r="E560" i="23"/>
  <c r="B560" i="23" s="1"/>
  <c r="E561" i="23"/>
  <c r="B561" i="23" s="1"/>
  <c r="E562" i="23"/>
  <c r="B562" i="23" s="1"/>
  <c r="E563" i="23"/>
  <c r="B563" i="23"/>
  <c r="E568" i="23"/>
  <c r="B568" i="23" s="1"/>
  <c r="E569" i="23"/>
  <c r="B569" i="23" s="1"/>
  <c r="E570" i="23"/>
  <c r="B570" i="23" s="1"/>
  <c r="E571" i="23"/>
  <c r="B571" i="23" s="1"/>
  <c r="E572" i="23"/>
  <c r="B572" i="23" s="1"/>
  <c r="E577" i="23"/>
  <c r="B577" i="23" s="1"/>
  <c r="E580" i="23"/>
  <c r="B580" i="23" s="1"/>
  <c r="E581" i="23"/>
  <c r="B581" i="23" s="1"/>
  <c r="E582" i="23"/>
  <c r="B582" i="23" s="1"/>
  <c r="E586" i="23"/>
  <c r="B586" i="23" s="1"/>
  <c r="E587" i="23"/>
  <c r="B587" i="23" s="1"/>
  <c r="E589" i="23"/>
  <c r="B589" i="23" s="1"/>
  <c r="E590" i="23"/>
  <c r="B590" i="23" s="1"/>
  <c r="E591" i="23"/>
  <c r="B591" i="23" s="1"/>
  <c r="E594" i="23"/>
  <c r="B594" i="23" s="1"/>
  <c r="E595" i="23"/>
  <c r="B595" i="23" s="1"/>
  <c r="E596" i="23"/>
  <c r="B596" i="23" s="1"/>
  <c r="E597" i="23"/>
  <c r="B597" i="23" s="1"/>
  <c r="E598" i="23"/>
  <c r="B598" i="23" s="1"/>
  <c r="E599" i="23"/>
  <c r="B599" i="23" s="1"/>
  <c r="E600" i="23"/>
  <c r="B600" i="23" s="1"/>
  <c r="E601" i="23"/>
  <c r="B601" i="23" s="1"/>
  <c r="E603" i="23"/>
  <c r="B603" i="23" s="1"/>
  <c r="E604" i="23"/>
  <c r="B604" i="23" s="1"/>
  <c r="E605" i="23"/>
  <c r="B605" i="23" s="1"/>
  <c r="E606" i="23"/>
  <c r="B606" i="23" s="1"/>
  <c r="E607" i="23"/>
  <c r="B607" i="23" s="1"/>
  <c r="E608" i="23"/>
  <c r="B608" i="23" s="1"/>
  <c r="E609" i="23"/>
  <c r="B609" i="23" s="1"/>
  <c r="E610" i="23"/>
  <c r="B610" i="23" s="1"/>
  <c r="E611" i="23"/>
  <c r="B611" i="23" s="1"/>
  <c r="E612" i="23"/>
  <c r="B612" i="23" s="1"/>
  <c r="E613" i="23"/>
  <c r="B613" i="23" s="1"/>
  <c r="E614" i="23"/>
  <c r="B614" i="23" s="1"/>
  <c r="E615" i="23"/>
  <c r="B615" i="23" s="1"/>
  <c r="E616" i="23"/>
  <c r="B616" i="23" s="1"/>
  <c r="E617" i="23"/>
  <c r="B617" i="23" s="1"/>
  <c r="E618" i="23"/>
  <c r="B618" i="23" s="1"/>
  <c r="E619" i="23"/>
  <c r="B619" i="23" s="1"/>
  <c r="E620" i="23"/>
  <c r="B620" i="23" s="1"/>
  <c r="E621" i="23"/>
  <c r="B621" i="23" s="1"/>
  <c r="E622" i="23"/>
  <c r="B622" i="23" s="1"/>
  <c r="E623" i="23"/>
  <c r="B623" i="23" s="1"/>
  <c r="E624" i="23"/>
  <c r="B624" i="23" s="1"/>
  <c r="E625" i="23"/>
  <c r="B625" i="23" s="1"/>
  <c r="E626" i="23"/>
  <c r="B626" i="23" s="1"/>
  <c r="E627" i="23"/>
  <c r="B627" i="23" s="1"/>
  <c r="E628" i="23"/>
  <c r="B628" i="23" s="1"/>
  <c r="E629" i="23"/>
  <c r="B629" i="23" s="1"/>
  <c r="E630" i="23"/>
  <c r="B630" i="23" s="1"/>
  <c r="E631" i="23"/>
  <c r="B631" i="23" s="1"/>
  <c r="E632" i="23"/>
  <c r="B632" i="23" s="1"/>
  <c r="E633" i="23"/>
  <c r="B633" i="23" s="1"/>
  <c r="E634" i="23"/>
  <c r="B634" i="23" s="1"/>
  <c r="E635" i="23"/>
  <c r="B635" i="23" s="1"/>
  <c r="E636" i="23"/>
  <c r="B636" i="23" s="1"/>
  <c r="E637" i="23"/>
  <c r="B637" i="23" s="1"/>
  <c r="E638" i="23"/>
  <c r="B638" i="23" s="1"/>
  <c r="E639" i="23"/>
  <c r="B639" i="23" s="1"/>
  <c r="E640" i="23"/>
  <c r="B640" i="23" s="1"/>
  <c r="E641" i="23"/>
  <c r="B641" i="23" s="1"/>
  <c r="E642" i="23"/>
  <c r="B642" i="23" s="1"/>
  <c r="E643" i="23"/>
  <c r="B643" i="23" s="1"/>
  <c r="E644" i="23"/>
  <c r="B644" i="23" s="1"/>
  <c r="E645" i="23"/>
  <c r="B645" i="23" s="1"/>
  <c r="E646" i="23"/>
  <c r="B646" i="23" s="1"/>
  <c r="E647" i="23"/>
  <c r="B647" i="23" s="1"/>
  <c r="E648" i="23"/>
  <c r="B648" i="23" s="1"/>
  <c r="E649" i="23"/>
  <c r="B649" i="23" s="1"/>
  <c r="E650" i="23"/>
  <c r="B650" i="23" s="1"/>
  <c r="E651" i="23"/>
  <c r="B651" i="23" s="1"/>
  <c r="E652" i="23"/>
  <c r="B652" i="23" s="1"/>
  <c r="E653" i="23"/>
  <c r="B653" i="23" s="1"/>
  <c r="E654" i="23"/>
  <c r="B654" i="23" s="1"/>
  <c r="E655" i="23"/>
  <c r="B655" i="23" s="1"/>
  <c r="E656" i="23"/>
  <c r="B656" i="23" s="1"/>
  <c r="E657" i="23"/>
  <c r="B657" i="23" s="1"/>
  <c r="E658" i="23"/>
  <c r="B658" i="23" s="1"/>
  <c r="E659" i="23"/>
  <c r="B659" i="23" s="1"/>
  <c r="E660" i="23"/>
  <c r="B660" i="23" s="1"/>
  <c r="E661" i="23"/>
  <c r="B661" i="23" s="1"/>
  <c r="E662" i="23"/>
  <c r="B662" i="23" s="1"/>
  <c r="E663" i="23"/>
  <c r="B663" i="23" s="1"/>
  <c r="E664" i="23"/>
  <c r="B664" i="23" s="1"/>
  <c r="E665" i="23"/>
  <c r="B665" i="23" s="1"/>
  <c r="E666" i="23"/>
  <c r="B666" i="23" s="1"/>
  <c r="E667" i="23"/>
  <c r="B667" i="23" s="1"/>
  <c r="E668" i="23"/>
  <c r="B668" i="23" s="1"/>
  <c r="E669" i="23"/>
  <c r="B669" i="23" s="1"/>
  <c r="E670" i="23"/>
  <c r="B670" i="23" s="1"/>
  <c r="E671" i="23"/>
  <c r="B671" i="23" s="1"/>
  <c r="E672" i="23"/>
  <c r="B672" i="23" s="1"/>
  <c r="E673" i="23"/>
  <c r="B673" i="23" s="1"/>
  <c r="E674" i="23"/>
  <c r="B674" i="23" s="1"/>
  <c r="E675" i="23"/>
  <c r="B675" i="23" s="1"/>
  <c r="E676" i="23"/>
  <c r="B676" i="23" s="1"/>
  <c r="E677" i="23"/>
  <c r="B677" i="23" s="1"/>
  <c r="E678" i="23"/>
  <c r="B678" i="23" s="1"/>
  <c r="E679" i="23"/>
  <c r="B679" i="23" s="1"/>
  <c r="E680" i="23"/>
  <c r="B680" i="23" s="1"/>
  <c r="E681" i="23"/>
  <c r="B681" i="23" s="1"/>
  <c r="E682" i="23"/>
  <c r="B682" i="23" s="1"/>
  <c r="E683" i="23"/>
  <c r="B683" i="23" s="1"/>
  <c r="E684" i="23"/>
  <c r="B684" i="23" s="1"/>
  <c r="E685" i="23"/>
  <c r="B685" i="23" s="1"/>
  <c r="E686" i="23"/>
  <c r="B686" i="23" s="1"/>
  <c r="E687" i="23"/>
  <c r="B687" i="23" s="1"/>
  <c r="E688" i="23"/>
  <c r="B688" i="23"/>
  <c r="E689" i="23"/>
  <c r="B689" i="23" s="1"/>
  <c r="E690" i="23"/>
  <c r="B690" i="23" s="1"/>
  <c r="E691" i="23"/>
  <c r="B691" i="23" s="1"/>
  <c r="E692" i="23"/>
  <c r="B692" i="23" s="1"/>
  <c r="E693" i="23"/>
  <c r="B693" i="23" s="1"/>
  <c r="E694" i="23"/>
  <c r="B694" i="23" s="1"/>
  <c r="E695" i="23"/>
  <c r="B695" i="23" s="1"/>
  <c r="E696" i="23"/>
  <c r="B696" i="23" s="1"/>
  <c r="E697" i="23"/>
  <c r="B697" i="23" s="1"/>
  <c r="E698" i="23"/>
  <c r="B698" i="23" s="1"/>
  <c r="E699" i="23"/>
  <c r="B699" i="23" s="1"/>
  <c r="E700" i="23"/>
  <c r="B700" i="23" s="1"/>
  <c r="E701" i="23"/>
  <c r="B701" i="23" s="1"/>
  <c r="E702" i="23"/>
  <c r="B702" i="23" s="1"/>
  <c r="E703" i="23"/>
  <c r="B703" i="23" s="1"/>
  <c r="E704" i="23"/>
  <c r="B704" i="23" s="1"/>
  <c r="E705" i="23"/>
  <c r="B705" i="23" s="1"/>
  <c r="E706" i="23"/>
  <c r="B706" i="23"/>
  <c r="E707" i="23"/>
  <c r="B707" i="23" s="1"/>
  <c r="E708" i="23"/>
  <c r="B708" i="23" s="1"/>
  <c r="E709" i="23"/>
  <c r="B709" i="23" s="1"/>
  <c r="E710" i="23"/>
  <c r="B710" i="23" s="1"/>
  <c r="E711" i="23"/>
  <c r="B711" i="23" s="1"/>
  <c r="E714" i="23"/>
  <c r="B714" i="23" s="1"/>
  <c r="E716" i="23"/>
  <c r="B716" i="23" s="1"/>
  <c r="E717" i="23"/>
  <c r="B717" i="23" s="1"/>
  <c r="E720" i="23"/>
  <c r="B720" i="23" s="1"/>
  <c r="E723" i="23"/>
  <c r="B723" i="23" s="1"/>
  <c r="E725" i="23"/>
  <c r="B725" i="23" s="1"/>
  <c r="E728" i="23"/>
  <c r="B728" i="23" s="1"/>
  <c r="E729" i="23"/>
  <c r="B729" i="23" s="1"/>
  <c r="E730" i="23"/>
  <c r="B730" i="23" s="1"/>
  <c r="C14" i="28"/>
  <c r="B14" i="28"/>
  <c r="B18" i="28"/>
  <c r="C17" i="28"/>
  <c r="B17" i="28"/>
  <c r="C16" i="28"/>
  <c r="B16" i="28"/>
  <c r="C15" i="28"/>
  <c r="B15" i="28"/>
  <c r="C13" i="28"/>
  <c r="B13" i="28"/>
  <c r="Q44" i="15"/>
  <c r="X43" i="15"/>
  <c r="W43" i="15"/>
  <c r="V43" i="15"/>
  <c r="T43" i="15"/>
  <c r="S43" i="15"/>
  <c r="R43" i="15"/>
  <c r="X42" i="15"/>
  <c r="W42" i="15"/>
  <c r="V42" i="15"/>
  <c r="T42" i="15"/>
  <c r="S42" i="15"/>
  <c r="R42" i="15"/>
  <c r="X41" i="15"/>
  <c r="W41" i="15"/>
  <c r="V41" i="15"/>
  <c r="T41" i="15"/>
  <c r="S41" i="15"/>
  <c r="R41" i="15"/>
  <c r="X40" i="15"/>
  <c r="W40" i="15"/>
  <c r="V40" i="15"/>
  <c r="T40" i="15"/>
  <c r="S40" i="15"/>
  <c r="R40" i="15"/>
  <c r="X39" i="15"/>
  <c r="W39" i="15"/>
  <c r="V39" i="15"/>
  <c r="T39" i="15"/>
  <c r="S39" i="15"/>
  <c r="R39" i="15"/>
  <c r="X38" i="15"/>
  <c r="W38" i="15"/>
  <c r="V38" i="15"/>
  <c r="T38" i="15"/>
  <c r="S38" i="15"/>
  <c r="R38" i="15"/>
  <c r="X37" i="15"/>
  <c r="W37" i="15"/>
  <c r="V37" i="15"/>
  <c r="T37" i="15"/>
  <c r="S37" i="15"/>
  <c r="R37" i="15"/>
  <c r="X36" i="15"/>
  <c r="W36" i="15"/>
  <c r="V36" i="15"/>
  <c r="T36" i="15"/>
  <c r="S36" i="15"/>
  <c r="R36" i="15"/>
  <c r="X35" i="15"/>
  <c r="W35" i="15"/>
  <c r="V35" i="15"/>
  <c r="T35" i="15"/>
  <c r="S35" i="15"/>
  <c r="R35" i="15"/>
  <c r="X34" i="15"/>
  <c r="W34" i="15"/>
  <c r="V34" i="15"/>
  <c r="T34" i="15"/>
  <c r="S34" i="15"/>
  <c r="R34" i="15"/>
  <c r="X33" i="15"/>
  <c r="W33" i="15"/>
  <c r="V33" i="15"/>
  <c r="T33" i="15"/>
  <c r="S33" i="15"/>
  <c r="R33" i="15"/>
  <c r="X32" i="15"/>
  <c r="W32" i="15"/>
  <c r="V32" i="15"/>
  <c r="T32" i="15"/>
  <c r="S32" i="15"/>
  <c r="R32" i="15"/>
  <c r="X31" i="15"/>
  <c r="W31" i="15"/>
  <c r="V31" i="15"/>
  <c r="T31" i="15"/>
  <c r="S31" i="15"/>
  <c r="R31" i="15"/>
  <c r="X30" i="15"/>
  <c r="W30" i="15"/>
  <c r="V30" i="15"/>
  <c r="T30" i="15"/>
  <c r="S30" i="15"/>
  <c r="R30" i="15"/>
  <c r="X29" i="15"/>
  <c r="W29" i="15"/>
  <c r="V29" i="15"/>
  <c r="T29" i="15"/>
  <c r="S29" i="15"/>
  <c r="R29" i="15"/>
  <c r="X28" i="15"/>
  <c r="W28" i="15"/>
  <c r="V28" i="15"/>
  <c r="T28" i="15"/>
  <c r="S28" i="15"/>
  <c r="R28" i="15"/>
  <c r="X27" i="15"/>
  <c r="W27" i="15"/>
  <c r="V27" i="15"/>
  <c r="T27" i="15"/>
  <c r="S27" i="15"/>
  <c r="R27" i="15"/>
  <c r="X26" i="15"/>
  <c r="W26" i="15"/>
  <c r="V26" i="15"/>
  <c r="T26" i="15"/>
  <c r="S26" i="15"/>
  <c r="R26" i="15"/>
  <c r="X25" i="15"/>
  <c r="W25" i="15"/>
  <c r="V25" i="15"/>
  <c r="T25" i="15"/>
  <c r="S25" i="15"/>
  <c r="R25" i="15"/>
  <c r="X24" i="15"/>
  <c r="W24" i="15"/>
  <c r="V24" i="15"/>
  <c r="T24" i="15"/>
  <c r="S24" i="15"/>
  <c r="R24" i="15"/>
  <c r="X23" i="15"/>
  <c r="W23" i="15"/>
  <c r="V23" i="15"/>
  <c r="T23" i="15"/>
  <c r="S23" i="15"/>
  <c r="R23" i="15"/>
  <c r="X22" i="15"/>
  <c r="W22" i="15"/>
  <c r="V22" i="15"/>
  <c r="T22" i="15"/>
  <c r="S22" i="15"/>
  <c r="R22" i="15"/>
  <c r="X21" i="15"/>
  <c r="W21" i="15"/>
  <c r="V21" i="15"/>
  <c r="T21" i="15"/>
  <c r="S21" i="15"/>
  <c r="R21" i="15"/>
  <c r="X20" i="15"/>
  <c r="W20" i="15"/>
  <c r="V20" i="15"/>
  <c r="T20" i="15"/>
  <c r="S20" i="15"/>
  <c r="R20" i="15"/>
  <c r="X19" i="15"/>
  <c r="W19" i="15"/>
  <c r="V19" i="15"/>
  <c r="T19" i="15"/>
  <c r="S19" i="15"/>
  <c r="R19" i="15"/>
  <c r="X18" i="15"/>
  <c r="W18" i="15"/>
  <c r="V18" i="15"/>
  <c r="T18" i="15"/>
  <c r="S18" i="15"/>
  <c r="R18" i="15"/>
  <c r="X17" i="15"/>
  <c r="W17" i="15"/>
  <c r="V17" i="15"/>
  <c r="T17" i="15"/>
  <c r="S17" i="15"/>
  <c r="R17" i="15"/>
  <c r="X16" i="15"/>
  <c r="W16" i="15"/>
  <c r="V16" i="15"/>
  <c r="T16" i="15"/>
  <c r="T13" i="15"/>
  <c r="T14" i="15"/>
  <c r="T15" i="15"/>
  <c r="T44" i="15"/>
  <c r="K44" i="15"/>
  <c r="S16" i="15"/>
  <c r="R16" i="15"/>
  <c r="X15" i="15"/>
  <c r="W15" i="15"/>
  <c r="V15" i="15"/>
  <c r="S15" i="15"/>
  <c r="R15" i="15"/>
  <c r="X14" i="15"/>
  <c r="X13" i="15"/>
  <c r="X44" i="15"/>
  <c r="W14" i="15"/>
  <c r="W13" i="15"/>
  <c r="W44" i="15"/>
  <c r="V14" i="15"/>
  <c r="S14" i="15"/>
  <c r="R14" i="15"/>
  <c r="R13" i="15"/>
  <c r="R44" i="15"/>
  <c r="I44" i="15"/>
  <c r="V13" i="15"/>
  <c r="V44" i="15"/>
  <c r="S13" i="15"/>
  <c r="S44" i="15"/>
  <c r="J44" i="15"/>
  <c r="S21" i="17"/>
  <c r="T21" i="17"/>
  <c r="R21" i="17"/>
  <c r="X18" i="19"/>
  <c r="D38" i="21"/>
  <c r="AF35" i="21" s="1"/>
  <c r="L52" i="10"/>
  <c r="J3" i="23"/>
  <c r="J1" i="23"/>
  <c r="M23" i="21"/>
  <c r="M21" i="2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22" i="1"/>
  <c r="X21" i="1"/>
  <c r="X20" i="1"/>
  <c r="X18" i="1"/>
  <c r="X19" i="1"/>
  <c r="X17" i="1"/>
  <c r="X52" i="19"/>
  <c r="X51" i="19"/>
  <c r="X50" i="19"/>
  <c r="X49" i="19"/>
  <c r="X48" i="19"/>
  <c r="X47" i="19"/>
  <c r="X46" i="19"/>
  <c r="X45" i="19"/>
  <c r="X44" i="19"/>
  <c r="X43" i="19"/>
  <c r="X42" i="19"/>
  <c r="X41" i="19"/>
  <c r="X40" i="19"/>
  <c r="X39" i="19"/>
  <c r="X38" i="19"/>
  <c r="X21" i="19"/>
  <c r="X20" i="19"/>
  <c r="X19" i="19"/>
  <c r="W16" i="13"/>
  <c r="W18" i="13"/>
  <c r="U50" i="13"/>
  <c r="U51" i="13"/>
  <c r="U52" i="13"/>
  <c r="U53" i="13"/>
  <c r="U54" i="13"/>
  <c r="U55" i="13"/>
  <c r="U56" i="13"/>
  <c r="U57" i="13"/>
  <c r="V14" i="17"/>
  <c r="W14" i="17"/>
  <c r="X14" i="17"/>
  <c r="V15" i="17"/>
  <c r="W15" i="17"/>
  <c r="X15" i="17"/>
  <c r="V16" i="17"/>
  <c r="W16" i="17"/>
  <c r="X16" i="17"/>
  <c r="V17" i="17"/>
  <c r="W17" i="17"/>
  <c r="X17" i="17"/>
  <c r="V18" i="17"/>
  <c r="W18" i="17"/>
  <c r="X18" i="17"/>
  <c r="V19" i="17"/>
  <c r="W19" i="17"/>
  <c r="X19" i="17"/>
  <c r="V20" i="17"/>
  <c r="V13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W20" i="17"/>
  <c r="X20" i="17"/>
  <c r="W21" i="17"/>
  <c r="X21" i="17"/>
  <c r="W22" i="17"/>
  <c r="X22" i="17"/>
  <c r="W23" i="17"/>
  <c r="X23" i="17"/>
  <c r="W24" i="17"/>
  <c r="X24" i="17"/>
  <c r="W25" i="17"/>
  <c r="X25" i="17"/>
  <c r="W26" i="17"/>
  <c r="X26" i="17"/>
  <c r="W27" i="17"/>
  <c r="X27" i="17"/>
  <c r="W28" i="17"/>
  <c r="X28" i="17"/>
  <c r="W29" i="17"/>
  <c r="X29" i="17"/>
  <c r="W30" i="17"/>
  <c r="X30" i="17"/>
  <c r="W31" i="17"/>
  <c r="X31" i="17"/>
  <c r="W32" i="17"/>
  <c r="X32" i="17"/>
  <c r="W33" i="17"/>
  <c r="X33" i="17"/>
  <c r="W34" i="17"/>
  <c r="X34" i="17"/>
  <c r="W35" i="17"/>
  <c r="X35" i="17"/>
  <c r="W36" i="17"/>
  <c r="X36" i="17"/>
  <c r="W37" i="17"/>
  <c r="X37" i="17"/>
  <c r="W38" i="17"/>
  <c r="X38" i="17"/>
  <c r="W39" i="17"/>
  <c r="X39" i="17"/>
  <c r="W40" i="17"/>
  <c r="X40" i="17"/>
  <c r="W41" i="17"/>
  <c r="X41" i="17"/>
  <c r="W42" i="17"/>
  <c r="X42" i="17"/>
  <c r="W43" i="17"/>
  <c r="X43" i="17"/>
  <c r="X13" i="17"/>
  <c r="X44" i="17"/>
  <c r="W13" i="17"/>
  <c r="W44" i="17"/>
  <c r="X49" i="5"/>
  <c r="X50" i="5"/>
  <c r="X51" i="5"/>
  <c r="L44" i="17"/>
  <c r="C20" i="21"/>
  <c r="R178" i="13"/>
  <c r="R118" i="13"/>
  <c r="R58" i="13"/>
  <c r="R180" i="13"/>
  <c r="W55" i="1"/>
  <c r="W55" i="27"/>
  <c r="W54" i="5"/>
  <c r="W53" i="19"/>
  <c r="W58" i="6"/>
  <c r="W60" i="8"/>
  <c r="AM52" i="10"/>
  <c r="W51" i="9"/>
  <c r="Q44" i="17"/>
  <c r="K28" i="21"/>
  <c r="M178" i="13"/>
  <c r="S177" i="13"/>
  <c r="H177" i="13"/>
  <c r="S176" i="13"/>
  <c r="H176" i="13"/>
  <c r="S175" i="13"/>
  <c r="H175" i="13"/>
  <c r="L7" i="13"/>
  <c r="I96" i="13"/>
  <c r="I171" i="13"/>
  <c r="S174" i="13"/>
  <c r="H174" i="13"/>
  <c r="S173" i="13"/>
  <c r="H173" i="13"/>
  <c r="S172" i="13"/>
  <c r="H172" i="13"/>
  <c r="S171" i="13"/>
  <c r="H171" i="13"/>
  <c r="S170" i="13"/>
  <c r="H170" i="13"/>
  <c r="S169" i="13"/>
  <c r="H169" i="13"/>
  <c r="S168" i="13"/>
  <c r="H168" i="13"/>
  <c r="S167" i="13"/>
  <c r="H167" i="13"/>
  <c r="S166" i="13"/>
  <c r="H166" i="13"/>
  <c r="S165" i="13"/>
  <c r="H165" i="13"/>
  <c r="S164" i="13"/>
  <c r="H164" i="13"/>
  <c r="S163" i="13"/>
  <c r="H163" i="13"/>
  <c r="S162" i="13"/>
  <c r="H162" i="13"/>
  <c r="S161" i="13"/>
  <c r="H161" i="13"/>
  <c r="S160" i="13"/>
  <c r="H160" i="13"/>
  <c r="S159" i="13"/>
  <c r="H159" i="13"/>
  <c r="S158" i="13"/>
  <c r="H158" i="13"/>
  <c r="S157" i="13"/>
  <c r="H157" i="13"/>
  <c r="S156" i="13"/>
  <c r="H156" i="13"/>
  <c r="S155" i="13"/>
  <c r="H155" i="13"/>
  <c r="S154" i="13"/>
  <c r="H154" i="13"/>
  <c r="S153" i="13"/>
  <c r="H153" i="13"/>
  <c r="S152" i="13"/>
  <c r="H152" i="13"/>
  <c r="S151" i="13"/>
  <c r="H151" i="13"/>
  <c r="S150" i="13"/>
  <c r="H150" i="13"/>
  <c r="S149" i="13"/>
  <c r="H149" i="13"/>
  <c r="S148" i="13"/>
  <c r="H148" i="13"/>
  <c r="S147" i="13"/>
  <c r="H147" i="13"/>
  <c r="S146" i="13"/>
  <c r="H146" i="13"/>
  <c r="S145" i="13"/>
  <c r="H145" i="13"/>
  <c r="S144" i="13"/>
  <c r="H144" i="13"/>
  <c r="S143" i="13"/>
  <c r="H143" i="13"/>
  <c r="S142" i="13"/>
  <c r="H142" i="13"/>
  <c r="S141" i="13"/>
  <c r="H141" i="13"/>
  <c r="S140" i="13"/>
  <c r="H140" i="13"/>
  <c r="S139" i="13"/>
  <c r="H139" i="13"/>
  <c r="S138" i="13"/>
  <c r="H138" i="13"/>
  <c r="S137" i="13"/>
  <c r="H137" i="13"/>
  <c r="S136" i="13"/>
  <c r="H136" i="13"/>
  <c r="S135" i="13"/>
  <c r="S132" i="13"/>
  <c r="S133" i="13"/>
  <c r="S134" i="13"/>
  <c r="S178" i="13"/>
  <c r="Q178" i="13"/>
  <c r="H135" i="13"/>
  <c r="H134" i="13"/>
  <c r="H133" i="13"/>
  <c r="H132" i="13"/>
  <c r="M118" i="13"/>
  <c r="S117" i="13"/>
  <c r="H117" i="13"/>
  <c r="S116" i="13"/>
  <c r="H116" i="13"/>
  <c r="S115" i="13"/>
  <c r="H115" i="13"/>
  <c r="S114" i="13"/>
  <c r="H114" i="13"/>
  <c r="S113" i="13"/>
  <c r="H113" i="13"/>
  <c r="S112" i="13"/>
  <c r="H112" i="13"/>
  <c r="S111" i="13"/>
  <c r="H111" i="13"/>
  <c r="S110" i="13"/>
  <c r="H110" i="13"/>
  <c r="S109" i="13"/>
  <c r="H109" i="13"/>
  <c r="S108" i="13"/>
  <c r="H108" i="13"/>
  <c r="S107" i="13"/>
  <c r="H107" i="13"/>
  <c r="S106" i="13"/>
  <c r="H106" i="13"/>
  <c r="S105" i="13"/>
  <c r="H105" i="13"/>
  <c r="S104" i="13"/>
  <c r="H104" i="13"/>
  <c r="S103" i="13"/>
  <c r="H103" i="13"/>
  <c r="S102" i="13"/>
  <c r="H102" i="13"/>
  <c r="S101" i="13"/>
  <c r="H101" i="13"/>
  <c r="S100" i="13"/>
  <c r="H100" i="13"/>
  <c r="S99" i="13"/>
  <c r="H99" i="13"/>
  <c r="S98" i="13"/>
  <c r="H98" i="13"/>
  <c r="S97" i="13"/>
  <c r="H97" i="13"/>
  <c r="S96" i="13"/>
  <c r="H96" i="13"/>
  <c r="S95" i="13"/>
  <c r="H95" i="13"/>
  <c r="S94" i="13"/>
  <c r="H94" i="13"/>
  <c r="S93" i="13"/>
  <c r="H93" i="13"/>
  <c r="S92" i="13"/>
  <c r="H92" i="13"/>
  <c r="S91" i="13"/>
  <c r="H91" i="13"/>
  <c r="S90" i="13"/>
  <c r="H90" i="13"/>
  <c r="S89" i="13"/>
  <c r="H89" i="13"/>
  <c r="S88" i="13"/>
  <c r="H88" i="13"/>
  <c r="S87" i="13"/>
  <c r="H87" i="13"/>
  <c r="S86" i="13"/>
  <c r="H86" i="13"/>
  <c r="S85" i="13"/>
  <c r="H85" i="13"/>
  <c r="S84" i="13"/>
  <c r="H84" i="13"/>
  <c r="S83" i="13"/>
  <c r="H83" i="13"/>
  <c r="S82" i="13"/>
  <c r="H82" i="13"/>
  <c r="S81" i="13"/>
  <c r="H81" i="13"/>
  <c r="S80" i="13"/>
  <c r="H80" i="13"/>
  <c r="S79" i="13"/>
  <c r="H79" i="13"/>
  <c r="S78" i="13"/>
  <c r="H78" i="13"/>
  <c r="S77" i="13"/>
  <c r="H77" i="13"/>
  <c r="S76" i="13"/>
  <c r="H76" i="13"/>
  <c r="S75" i="13"/>
  <c r="H75" i="13"/>
  <c r="S74" i="13"/>
  <c r="H74" i="13"/>
  <c r="S73" i="13"/>
  <c r="H73" i="13"/>
  <c r="S72" i="13"/>
  <c r="S118" i="13"/>
  <c r="Q118" i="13"/>
  <c r="H72" i="13"/>
  <c r="M58" i="13"/>
  <c r="X17" i="8"/>
  <c r="X19" i="8"/>
  <c r="X20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18" i="9"/>
  <c r="X19" i="9"/>
  <c r="X20" i="9"/>
  <c r="X21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17" i="9"/>
  <c r="AG52" i="10"/>
  <c r="X18" i="27"/>
  <c r="X19" i="27"/>
  <c r="X20" i="27"/>
  <c r="X21" i="27"/>
  <c r="X35" i="27"/>
  <c r="X36" i="27"/>
  <c r="X37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53" i="27"/>
  <c r="X54" i="27"/>
  <c r="X17" i="27"/>
  <c r="X18" i="6"/>
  <c r="X19" i="6"/>
  <c r="X20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17" i="6"/>
  <c r="R14" i="17"/>
  <c r="R13" i="17"/>
  <c r="R15" i="17"/>
  <c r="R16" i="17"/>
  <c r="R17" i="17"/>
  <c r="R18" i="17"/>
  <c r="R19" i="17"/>
  <c r="R20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I44" i="17"/>
  <c r="S14" i="17"/>
  <c r="T14" i="17"/>
  <c r="T13" i="17"/>
  <c r="T15" i="17"/>
  <c r="T16" i="17"/>
  <c r="T17" i="17"/>
  <c r="T18" i="17"/>
  <c r="T19" i="17"/>
  <c r="T20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K44" i="17"/>
  <c r="S15" i="17"/>
  <c r="S16" i="17"/>
  <c r="S17" i="17"/>
  <c r="S18" i="17"/>
  <c r="S19" i="17"/>
  <c r="S20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13" i="17"/>
  <c r="X17" i="19"/>
  <c r="S13" i="13"/>
  <c r="S12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Q58" i="13"/>
  <c r="X16" i="5"/>
  <c r="X17" i="5"/>
  <c r="X18" i="5"/>
  <c r="X19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52" i="5"/>
  <c r="X53" i="5"/>
  <c r="X54" i="5"/>
  <c r="U54" i="5"/>
  <c r="N55" i="27"/>
  <c r="O16" i="27"/>
  <c r="M16" i="27"/>
  <c r="P52" i="10"/>
  <c r="J4" i="23"/>
  <c r="J2" i="23"/>
  <c r="V52" i="10"/>
  <c r="N60" i="8"/>
  <c r="Q55" i="1"/>
  <c r="N51" i="9"/>
  <c r="N58" i="6"/>
  <c r="N54" i="5"/>
  <c r="N55" i="1"/>
  <c r="N53" i="19"/>
  <c r="O16" i="9"/>
  <c r="M16" i="9"/>
  <c r="K2" i="9"/>
  <c r="K2" i="10" s="1"/>
  <c r="O17" i="10"/>
  <c r="W17" i="10"/>
  <c r="O16" i="8"/>
  <c r="M16" i="8"/>
  <c r="O16" i="6"/>
  <c r="M16" i="6"/>
  <c r="O15" i="5"/>
  <c r="M15" i="5"/>
  <c r="O16" i="1"/>
  <c r="M16" i="1"/>
  <c r="H57" i="13"/>
  <c r="H56" i="13"/>
  <c r="H55" i="13"/>
  <c r="H54" i="13"/>
  <c r="H53" i="13"/>
  <c r="H52" i="13"/>
  <c r="H51" i="13"/>
  <c r="H50" i="13"/>
  <c r="H49" i="13"/>
  <c r="H48" i="13"/>
  <c r="H47" i="13"/>
  <c r="H46" i="13"/>
  <c r="H44" i="13"/>
  <c r="K7" i="13"/>
  <c r="O16" i="19"/>
  <c r="M16" i="19"/>
  <c r="K1" i="19"/>
  <c r="E1" i="13" s="1"/>
  <c r="C32" i="21"/>
  <c r="C24" i="21"/>
  <c r="C22" i="21"/>
  <c r="G8" i="21"/>
  <c r="H13" i="13"/>
  <c r="H15" i="13"/>
  <c r="H17" i="13"/>
  <c r="H19" i="13"/>
  <c r="H21" i="13"/>
  <c r="H23" i="13"/>
  <c r="H25" i="13"/>
  <c r="H27" i="13"/>
  <c r="H29" i="13"/>
  <c r="H31" i="13"/>
  <c r="H33" i="13"/>
  <c r="H35" i="13"/>
  <c r="H37" i="13"/>
  <c r="H39" i="13"/>
  <c r="H41" i="13"/>
  <c r="H43" i="13"/>
  <c r="H45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H36" i="13"/>
  <c r="H38" i="13"/>
  <c r="H40" i="13"/>
  <c r="H42" i="13"/>
  <c r="K1" i="9"/>
  <c r="K1" i="10" s="1"/>
  <c r="I25" i="13"/>
  <c r="I19" i="13"/>
  <c r="J18" i="13"/>
  <c r="J103" i="13"/>
  <c r="I152" i="13"/>
  <c r="L128" i="13"/>
  <c r="L127" i="13"/>
  <c r="K67" i="13"/>
  <c r="J107" i="13"/>
  <c r="I135" i="13"/>
  <c r="J169" i="13"/>
  <c r="I114" i="13"/>
  <c r="J30" i="13"/>
  <c r="J14" i="13"/>
  <c r="I73" i="13"/>
  <c r="I147" i="13"/>
  <c r="J143" i="13"/>
  <c r="I72" i="13"/>
  <c r="I46" i="13"/>
  <c r="J42" i="13"/>
  <c r="J77" i="13"/>
  <c r="I143" i="13"/>
  <c r="I84" i="13"/>
  <c r="J150" i="13"/>
  <c r="J22" i="13"/>
  <c r="J108" i="13"/>
  <c r="I43" i="13"/>
  <c r="I177" i="13"/>
  <c r="I157" i="13"/>
  <c r="J154" i="13"/>
  <c r="I50" i="13"/>
  <c r="J20" i="13"/>
  <c r="I113" i="13"/>
  <c r="J133" i="13"/>
  <c r="J146" i="13"/>
  <c r="J141" i="13"/>
  <c r="J149" i="13"/>
  <c r="I80" i="13"/>
  <c r="I112" i="13"/>
  <c r="J168" i="13"/>
  <c r="I111" i="13"/>
  <c r="I42" i="13"/>
  <c r="I48" i="13"/>
  <c r="J43" i="13"/>
  <c r="J35" i="13"/>
  <c r="J19" i="13"/>
  <c r="J15" i="13"/>
  <c r="J104" i="13"/>
  <c r="J100" i="13"/>
  <c r="J82" i="13"/>
  <c r="J73" i="13"/>
  <c r="I39" i="13"/>
  <c r="I35" i="13"/>
  <c r="I173" i="13"/>
  <c r="I168" i="13"/>
  <c r="I148" i="13"/>
  <c r="I140" i="13"/>
  <c r="I175" i="13"/>
  <c r="I89" i="13"/>
  <c r="I21" i="13"/>
  <c r="I83" i="13"/>
  <c r="J137" i="13"/>
  <c r="J153" i="13"/>
  <c r="I86" i="13"/>
  <c r="I100" i="13"/>
  <c r="J164" i="13"/>
  <c r="J174" i="13"/>
  <c r="I34" i="13"/>
  <c r="I41" i="13"/>
  <c r="J45" i="13"/>
  <c r="J41" i="13"/>
  <c r="J25" i="13"/>
  <c r="J21" i="13"/>
  <c r="J111" i="13"/>
  <c r="J102" i="13"/>
  <c r="J85" i="13"/>
  <c r="J80" i="13"/>
  <c r="I30" i="13"/>
  <c r="I24" i="13"/>
  <c r="I23" i="13"/>
  <c r="I94" i="13"/>
  <c r="I165" i="13"/>
  <c r="I160" i="13"/>
  <c r="I142" i="13"/>
  <c r="I138" i="13"/>
  <c r="I44" i="13"/>
  <c r="I99" i="13"/>
  <c r="J139" i="13"/>
  <c r="J147" i="13"/>
  <c r="I78" i="13"/>
  <c r="I88" i="13"/>
  <c r="J156" i="13"/>
  <c r="J176" i="13"/>
  <c r="I40" i="13"/>
  <c r="J56" i="13"/>
  <c r="J28" i="13"/>
  <c r="J24" i="13"/>
  <c r="J114" i="13"/>
  <c r="J105" i="13"/>
  <c r="J88" i="13"/>
  <c r="J84" i="13"/>
  <c r="I93" i="13"/>
  <c r="I98" i="13"/>
  <c r="I159" i="13"/>
  <c r="I149" i="13"/>
  <c r="I133" i="13"/>
  <c r="I162" i="13"/>
  <c r="AR20" i="10"/>
  <c r="X51" i="9"/>
  <c r="U51" i="9"/>
  <c r="X60" i="8"/>
  <c r="U60" i="8"/>
  <c r="X55" i="27"/>
  <c r="U55" i="27"/>
  <c r="X58" i="6"/>
  <c r="U58" i="6"/>
  <c r="X53" i="19"/>
  <c r="U53" i="19"/>
  <c r="M2" i="21"/>
  <c r="D9" i="21"/>
  <c r="AC25" i="21" s="1"/>
  <c r="D8" i="21"/>
  <c r="S44" i="17"/>
  <c r="J44" i="17"/>
  <c r="J83" i="13"/>
  <c r="I75" i="13"/>
  <c r="J173" i="13"/>
  <c r="I176" i="13"/>
  <c r="J116" i="13"/>
  <c r="I49" i="13"/>
  <c r="I74" i="13"/>
  <c r="I153" i="13"/>
  <c r="J109" i="13"/>
  <c r="I28" i="13"/>
  <c r="I20" i="13"/>
  <c r="I54" i="13"/>
  <c r="J38" i="13"/>
  <c r="I52" i="13"/>
  <c r="I18" i="13"/>
  <c r="I172" i="13"/>
  <c r="J160" i="13"/>
  <c r="J34" i="13"/>
  <c r="I82" i="13"/>
  <c r="I106" i="13"/>
  <c r="I14" i="13"/>
  <c r="I32" i="13"/>
  <c r="J117" i="13"/>
  <c r="I167" i="13"/>
  <c r="J170" i="13"/>
  <c r="I107" i="13"/>
  <c r="J26" i="13"/>
  <c r="I161" i="13"/>
  <c r="J151" i="13"/>
  <c r="J54" i="13"/>
  <c r="J90" i="13"/>
  <c r="I101" i="13"/>
  <c r="J52" i="13"/>
  <c r="I85" i="13"/>
  <c r="I12" i="13"/>
  <c r="J165" i="13"/>
  <c r="J157" i="13"/>
  <c r="I92" i="13"/>
  <c r="J158" i="13"/>
  <c r="I27" i="13"/>
  <c r="J55" i="13"/>
  <c r="J39" i="13"/>
  <c r="J23" i="13"/>
  <c r="J113" i="13"/>
  <c r="J95" i="13"/>
  <c r="J78" i="13"/>
  <c r="I16" i="13"/>
  <c r="I15" i="13"/>
  <c r="I163" i="13"/>
  <c r="I144" i="13"/>
  <c r="I166" i="13"/>
  <c r="I55" i="13"/>
  <c r="J162" i="13"/>
  <c r="J145" i="13"/>
  <c r="I76" i="13"/>
  <c r="J142" i="13"/>
  <c r="I103" i="13"/>
  <c r="I56" i="13"/>
  <c r="J49" i="13"/>
  <c r="J33" i="13"/>
  <c r="J17" i="13"/>
  <c r="J106" i="13"/>
  <c r="J89" i="13"/>
  <c r="J75" i="13"/>
  <c r="I37" i="13"/>
  <c r="I77" i="13"/>
  <c r="I170" i="13"/>
  <c r="I151" i="13"/>
  <c r="I134" i="13"/>
  <c r="I17" i="13"/>
  <c r="I26" i="13"/>
  <c r="J163" i="13"/>
  <c r="I108" i="13"/>
  <c r="J166" i="13"/>
  <c r="I13" i="13"/>
  <c r="J40" i="13"/>
  <c r="J16" i="13"/>
  <c r="J110" i="13"/>
  <c r="J92" i="13"/>
  <c r="J74" i="13"/>
  <c r="I174" i="13"/>
  <c r="I155" i="13"/>
  <c r="I137" i="13"/>
  <c r="X55" i="1"/>
  <c r="U55" i="1"/>
  <c r="I141" i="13"/>
  <c r="I164" i="13"/>
  <c r="J96" i="13"/>
  <c r="I109" i="13"/>
  <c r="J32" i="13"/>
  <c r="J144" i="13"/>
  <c r="J175" i="13"/>
  <c r="I81" i="13"/>
  <c r="I146" i="13"/>
  <c r="I29" i="13"/>
  <c r="J115" i="13"/>
  <c r="J93" i="13"/>
  <c r="J29" i="13"/>
  <c r="J53" i="13"/>
  <c r="J152" i="13"/>
  <c r="J171" i="13"/>
  <c r="I47" i="13"/>
  <c r="I132" i="13"/>
  <c r="I102" i="13"/>
  <c r="I22" i="13"/>
  <c r="J87" i="13"/>
  <c r="J27" i="13"/>
  <c r="J47" i="13"/>
  <c r="J148" i="13"/>
  <c r="J177" i="13"/>
  <c r="I36" i="13"/>
  <c r="J36" i="13"/>
  <c r="I38" i="13"/>
  <c r="J138" i="13"/>
  <c r="J94" i="13"/>
  <c r="I57" i="13"/>
  <c r="J81" i="13"/>
  <c r="J46" i="13"/>
  <c r="J50" i="13"/>
  <c r="I105" i="13"/>
  <c r="I145" i="13"/>
  <c r="I169" i="13"/>
  <c r="J79" i="13"/>
  <c r="J101" i="13"/>
  <c r="J13" i="13"/>
  <c r="J48" i="13"/>
  <c r="I95" i="13"/>
  <c r="J134" i="13"/>
  <c r="J155" i="13"/>
  <c r="I104" i="13"/>
  <c r="I154" i="13"/>
  <c r="I156" i="13"/>
  <c r="I110" i="13"/>
  <c r="I33" i="13"/>
  <c r="J76" i="13"/>
  <c r="J97" i="13"/>
  <c r="J12" i="13"/>
  <c r="J37" i="13"/>
  <c r="J57" i="13"/>
  <c r="I79" i="13"/>
  <c r="J132" i="13"/>
  <c r="J161" i="13"/>
  <c r="I116" i="13"/>
  <c r="I97" i="13"/>
  <c r="I136" i="13"/>
  <c r="I158" i="13"/>
  <c r="I31" i="13"/>
  <c r="J99" i="13"/>
  <c r="J91" i="13"/>
  <c r="J135" i="13"/>
  <c r="J31" i="13"/>
  <c r="J51" i="13"/>
  <c r="I91" i="13"/>
  <c r="J136" i="13"/>
  <c r="J167" i="13"/>
  <c r="I90" i="13"/>
  <c r="I53" i="13"/>
  <c r="J44" i="13"/>
  <c r="I139" i="13"/>
  <c r="I115" i="13"/>
  <c r="J72" i="13"/>
  <c r="I87" i="13"/>
  <c r="I51" i="13"/>
  <c r="J112" i="13"/>
  <c r="J140" i="13"/>
  <c r="I150" i="13"/>
  <c r="J98" i="13"/>
  <c r="J172" i="13"/>
  <c r="I117" i="13"/>
  <c r="I45" i="13"/>
  <c r="J159" i="13"/>
  <c r="J86" i="13"/>
  <c r="AN52" i="10"/>
  <c r="AO52" i="10"/>
  <c r="AQ52" i="10"/>
  <c r="AR52" i="10"/>
  <c r="Q23" i="21"/>
  <c r="M19" i="1"/>
  <c r="V19" i="1" s="1"/>
  <c r="M17" i="1"/>
  <c r="V17" i="1" s="1"/>
  <c r="M18" i="1"/>
  <c r="O18" i="1" s="1"/>
  <c r="AK55" i="1"/>
  <c r="F56" i="1"/>
  <c r="AE19" i="1"/>
  <c r="AE55" i="1"/>
  <c r="O58" i="8"/>
  <c r="O51" i="6"/>
  <c r="O43" i="27"/>
  <c r="O29" i="6"/>
  <c r="O31" i="27"/>
  <c r="O40" i="6"/>
  <c r="AE22" i="10"/>
  <c r="AJ22" i="10" s="1"/>
  <c r="O53" i="27"/>
  <c r="N36" i="15"/>
  <c r="AF24" i="10"/>
  <c r="AK24" i="10" s="1"/>
  <c r="O17" i="6"/>
  <c r="O57" i="8"/>
  <c r="AC35" i="10"/>
  <c r="AH35" i="10" s="1"/>
  <c r="AF35" i="10"/>
  <c r="AK35" i="10" s="1"/>
  <c r="O45" i="27"/>
  <c r="O22" i="8"/>
  <c r="P22" i="15"/>
  <c r="N22" i="15"/>
  <c r="O21" i="15"/>
  <c r="N34" i="15"/>
  <c r="L60" i="6"/>
  <c r="L58" i="6" s="1"/>
  <c r="E47" i="15"/>
  <c r="D47" i="15" s="1"/>
  <c r="M58" i="1"/>
  <c r="L55" i="1" s="1"/>
  <c r="L58" i="1" s="1"/>
  <c r="F59" i="13"/>
  <c r="E59" i="13" s="1"/>
  <c r="L63" i="8"/>
  <c r="L60" i="8" s="1"/>
  <c r="M56" i="19"/>
  <c r="E47" i="17"/>
  <c r="D47" i="17" s="1"/>
  <c r="N60" i="10"/>
  <c r="N58" i="10" s="1"/>
  <c r="V32" i="8"/>
  <c r="M57" i="27"/>
  <c r="L58" i="27" s="1"/>
  <c r="D26" i="21" s="1"/>
  <c r="AF25" i="21" s="1"/>
  <c r="M56" i="5"/>
  <c r="L57" i="5" s="1"/>
  <c r="O34" i="15"/>
  <c r="O22" i="15"/>
  <c r="N32" i="15"/>
  <c r="D30" i="21"/>
  <c r="AF27" i="21" s="1"/>
  <c r="L53" i="19"/>
  <c r="L56" i="19" s="1"/>
  <c r="P43" i="21"/>
  <c r="H44" i="21" s="1"/>
  <c r="D34" i="21"/>
  <c r="D36" i="21"/>
  <c r="AF32" i="21" s="1"/>
  <c r="AG33" i="21" s="1"/>
  <c r="AF34" i="21" s="1"/>
  <c r="M1" i="21"/>
  <c r="I18" i="21" s="1"/>
  <c r="D32" i="21"/>
  <c r="AF28" i="21" s="1"/>
  <c r="L54" i="19"/>
  <c r="L57" i="19"/>
  <c r="D18" i="21" s="1"/>
  <c r="AF21" i="21" s="1"/>
  <c r="T118" i="13" l="1"/>
  <c r="Y53" i="19"/>
  <c r="H43" i="21"/>
  <c r="L61" i="6"/>
  <c r="D24" i="21" s="1"/>
  <c r="AG24" i="21" s="1"/>
  <c r="N59" i="10"/>
  <c r="N54" i="10"/>
  <c r="D22" i="21" s="1"/>
  <c r="AF23" i="21" s="1"/>
  <c r="N57" i="10"/>
  <c r="L54" i="5"/>
  <c r="L56" i="5" s="1"/>
  <c r="N21" i="15"/>
  <c r="O52" i="6"/>
  <c r="P33" i="15"/>
  <c r="O30" i="27"/>
  <c r="O21" i="8"/>
  <c r="AD34" i="10"/>
  <c r="AI34" i="10" s="1"/>
  <c r="O33" i="8"/>
  <c r="O33" i="15"/>
  <c r="AF22" i="10"/>
  <c r="AK22" i="10" s="1"/>
  <c r="O28" i="6"/>
  <c r="AC34" i="10"/>
  <c r="AH34" i="10" s="1"/>
  <c r="AE34" i="10"/>
  <c r="AJ34" i="10" s="1"/>
  <c r="O18" i="27"/>
  <c r="AF34" i="10"/>
  <c r="AK34" i="10" s="1"/>
  <c r="W22" i="10"/>
  <c r="AD22" i="10"/>
  <c r="AI22" i="10" s="1"/>
  <c r="AC22" i="10"/>
  <c r="AH22" i="10" s="1"/>
  <c r="W34" i="10"/>
  <c r="P33" i="17"/>
  <c r="O44" i="27"/>
  <c r="O18" i="6"/>
  <c r="O30" i="6"/>
  <c r="AD24" i="10"/>
  <c r="AI24" i="10" s="1"/>
  <c r="O35" i="15"/>
  <c r="O47" i="8"/>
  <c r="O20" i="27"/>
  <c r="AD48" i="10"/>
  <c r="AI48" i="10" s="1"/>
  <c r="B46" i="15"/>
  <c r="U44" i="17"/>
  <c r="C46" i="17"/>
  <c r="D46" i="15"/>
  <c r="B46" i="17"/>
  <c r="C46" i="15"/>
  <c r="L64" i="8"/>
  <c r="D28" i="21" s="1"/>
  <c r="AF26" i="21" s="1"/>
  <c r="L61" i="8"/>
  <c r="C34" i="21"/>
  <c r="L59" i="6"/>
  <c r="A59" i="6" s="1"/>
  <c r="AF45" i="10"/>
  <c r="AK45" i="10" s="1"/>
  <c r="AD45" i="10"/>
  <c r="AI45" i="10" s="1"/>
  <c r="N20" i="17"/>
  <c r="P20" i="17"/>
  <c r="O32" i="17"/>
  <c r="O31" i="8"/>
  <c r="O26" i="6"/>
  <c r="AF32" i="10"/>
  <c r="AK32" i="10" s="1"/>
  <c r="O19" i="17"/>
  <c r="AF20" i="10"/>
  <c r="AK20" i="10" s="1"/>
  <c r="O28" i="27"/>
  <c r="AD20" i="10"/>
  <c r="AI20" i="10" s="1"/>
  <c r="AC20" i="10"/>
  <c r="AH20" i="10" s="1"/>
  <c r="O19" i="8"/>
  <c r="AC32" i="10"/>
  <c r="AH32" i="10" s="1"/>
  <c r="O52" i="27"/>
  <c r="W20" i="10"/>
  <c r="AE32" i="10"/>
  <c r="AJ32" i="10" s="1"/>
  <c r="AE20" i="10"/>
  <c r="AJ20" i="10" s="1"/>
  <c r="AD32" i="10"/>
  <c r="AI32" i="10" s="1"/>
  <c r="O38" i="6"/>
  <c r="O50" i="6"/>
  <c r="AD44" i="10"/>
  <c r="AI44" i="10" s="1"/>
  <c r="O25" i="1"/>
  <c r="W32" i="10"/>
  <c r="O37" i="1"/>
  <c r="X10" i="13"/>
  <c r="G134" i="13" s="1"/>
  <c r="E62" i="13"/>
  <c r="E122" i="13" s="1"/>
  <c r="K2" i="1"/>
  <c r="E6" i="13"/>
  <c r="E66" i="13" s="1"/>
  <c r="E126" i="13" s="1"/>
  <c r="L55" i="27"/>
  <c r="L57" i="27" s="1"/>
  <c r="Y55" i="1"/>
  <c r="I118" i="13"/>
  <c r="Y54" i="5"/>
  <c r="H23" i="21" s="1"/>
  <c r="AF29" i="21"/>
  <c r="AG30" i="21" s="1"/>
  <c r="AF31" i="21" s="1"/>
  <c r="N55" i="10"/>
  <c r="L59" i="1"/>
  <c r="D20" i="21" s="1"/>
  <c r="AG22" i="21" s="1"/>
  <c r="L56" i="1"/>
  <c r="D46" i="17"/>
  <c r="O28" i="1"/>
  <c r="J118" i="13"/>
  <c r="I58" i="13"/>
  <c r="J178" i="13"/>
  <c r="J58" i="13"/>
  <c r="AG21" i="21"/>
  <c r="AL22" i="21"/>
  <c r="AL27" i="21"/>
  <c r="AA29" i="21"/>
  <c r="AA34" i="21"/>
  <c r="AA26" i="21"/>
  <c r="AL25" i="21"/>
  <c r="AL30" i="21"/>
  <c r="AL35" i="21"/>
  <c r="AA22" i="21"/>
  <c r="AL32" i="21"/>
  <c r="AL23" i="21"/>
  <c r="AL28" i="21"/>
  <c r="AL33" i="21"/>
  <c r="AL26" i="21"/>
  <c r="AL21" i="21"/>
  <c r="AL36" i="21"/>
  <c r="AL24" i="21"/>
  <c r="AL29" i="21"/>
  <c r="AA28" i="21"/>
  <c r="AA25" i="21"/>
  <c r="AA23" i="21"/>
  <c r="AA30" i="21"/>
  <c r="AL34" i="21"/>
  <c r="AA24" i="21"/>
  <c r="AA32" i="21"/>
  <c r="O24" i="15"/>
  <c r="AE25" i="10"/>
  <c r="AJ25" i="10" s="1"/>
  <c r="O19" i="6"/>
  <c r="O24" i="17"/>
  <c r="N24" i="15"/>
  <c r="O42" i="1"/>
  <c r="AD49" i="10"/>
  <c r="AI49" i="10" s="1"/>
  <c r="O36" i="17"/>
  <c r="P24" i="17"/>
  <c r="AD37" i="10"/>
  <c r="AI37" i="10" s="1"/>
  <c r="AF49" i="10"/>
  <c r="AK49" i="10" s="1"/>
  <c r="AG49" i="10"/>
  <c r="AL49" i="10" s="1"/>
  <c r="O48" i="8"/>
  <c r="V36" i="8"/>
  <c r="AE37" i="10"/>
  <c r="AJ37" i="10" s="1"/>
  <c r="O30" i="1"/>
  <c r="O54" i="1"/>
  <c r="O36" i="15"/>
  <c r="AG37" i="10"/>
  <c r="AL37" i="10" s="1"/>
  <c r="W49" i="10"/>
  <c r="AC37" i="10"/>
  <c r="AH37" i="10" s="1"/>
  <c r="P36" i="17"/>
  <c r="AF37" i="10"/>
  <c r="AK37" i="10" s="1"/>
  <c r="O33" i="27"/>
  <c r="AE49" i="10"/>
  <c r="AJ49" i="10" s="1"/>
  <c r="O27" i="1"/>
  <c r="O18" i="19"/>
  <c r="O33" i="17"/>
  <c r="AC27" i="21"/>
  <c r="AC21" i="21"/>
  <c r="AC35" i="21"/>
  <c r="L55" i="5"/>
  <c r="A55" i="5" s="1"/>
  <c r="L57" i="1"/>
  <c r="A56" i="1" s="1"/>
  <c r="N53" i="10"/>
  <c r="A53" i="10" s="1"/>
  <c r="L62" i="8"/>
  <c r="A61" i="8" s="1"/>
  <c r="AC31" i="21"/>
  <c r="AC26" i="21"/>
  <c r="O44" i="19"/>
  <c r="O44" i="6"/>
  <c r="P37" i="17"/>
  <c r="V39" i="9"/>
  <c r="V38" i="9"/>
  <c r="O37" i="15"/>
  <c r="AD38" i="10"/>
  <c r="AI38" i="10" s="1"/>
  <c r="O37" i="8"/>
  <c r="O51" i="19"/>
  <c r="O20" i="8"/>
  <c r="O17" i="19"/>
  <c r="AD21" i="10"/>
  <c r="AI21" i="10" s="1"/>
  <c r="AC45" i="10"/>
  <c r="AH45" i="10" s="1"/>
  <c r="AE45" i="10"/>
  <c r="AJ45" i="10" s="1"/>
  <c r="W45" i="10"/>
  <c r="AC21" i="10"/>
  <c r="AH21" i="10" s="1"/>
  <c r="V21" i="19"/>
  <c r="W21" i="10"/>
  <c r="AG33" i="10"/>
  <c r="AL33" i="10" s="1"/>
  <c r="O39" i="6"/>
  <c r="AE21" i="10"/>
  <c r="AJ21" i="10" s="1"/>
  <c r="N20" i="15"/>
  <c r="N32" i="17"/>
  <c r="O17" i="27"/>
  <c r="O56" i="8"/>
  <c r="V27" i="6"/>
  <c r="AF21" i="10"/>
  <c r="AK21" i="10" s="1"/>
  <c r="O44" i="8"/>
  <c r="P20" i="15"/>
  <c r="O27" i="9"/>
  <c r="V40" i="19"/>
  <c r="O19" i="1"/>
  <c r="V26" i="9"/>
  <c r="V39" i="19"/>
  <c r="P37" i="15"/>
  <c r="N25" i="17"/>
  <c r="AE26" i="10"/>
  <c r="AJ26" i="10" s="1"/>
  <c r="AF26" i="10"/>
  <c r="AK26" i="10" s="1"/>
  <c r="O25" i="17"/>
  <c r="O34" i="27"/>
  <c r="AC26" i="10"/>
  <c r="AH26" i="10" s="1"/>
  <c r="AD50" i="10"/>
  <c r="AI50" i="10" s="1"/>
  <c r="O13" i="17"/>
  <c r="O25" i="15"/>
  <c r="AD26" i="10"/>
  <c r="AI26" i="10" s="1"/>
  <c r="N13" i="17"/>
  <c r="P25" i="15"/>
  <c r="O46" i="27"/>
  <c r="O43" i="1"/>
  <c r="O13" i="15"/>
  <c r="O22" i="27"/>
  <c r="P13" i="15"/>
  <c r="N37" i="17"/>
  <c r="W26" i="10"/>
  <c r="O25" i="8"/>
  <c r="O50" i="8"/>
  <c r="P14" i="15"/>
  <c r="O14" i="17"/>
  <c r="O41" i="8"/>
  <c r="O48" i="19"/>
  <c r="O47" i="19"/>
  <c r="O27" i="8"/>
  <c r="V38" i="19"/>
  <c r="AG41" i="10"/>
  <c r="AL41" i="10" s="1"/>
  <c r="AE42" i="10"/>
  <c r="AJ42" i="10" s="1"/>
  <c r="O53" i="8"/>
  <c r="V47" i="9"/>
  <c r="O28" i="8"/>
  <c r="O23" i="9"/>
  <c r="V43" i="19"/>
  <c r="P26" i="15"/>
  <c r="O26" i="15"/>
  <c r="W27" i="10"/>
  <c r="AC51" i="10"/>
  <c r="AH51" i="10" s="1"/>
  <c r="O26" i="8"/>
  <c r="V33" i="6"/>
  <c r="O38" i="8"/>
  <c r="O14" i="15"/>
  <c r="N14" i="17"/>
  <c r="O36" i="6"/>
  <c r="O16" i="17"/>
  <c r="O40" i="17"/>
  <c r="P40" i="17"/>
  <c r="P16" i="17"/>
  <c r="O49" i="27"/>
  <c r="AE41" i="10"/>
  <c r="AJ41" i="10" s="1"/>
  <c r="O47" i="6"/>
  <c r="O22" i="1"/>
  <c r="V32" i="9"/>
  <c r="AF41" i="10"/>
  <c r="AK41" i="10" s="1"/>
  <c r="W41" i="10"/>
  <c r="O34" i="1"/>
  <c r="O46" i="1"/>
  <c r="O44" i="9"/>
  <c r="O35" i="6"/>
  <c r="AD41" i="10"/>
  <c r="AI41" i="10" s="1"/>
  <c r="W42" i="10"/>
  <c r="AC42" i="10"/>
  <c r="AH42" i="10" s="1"/>
  <c r="O29" i="15"/>
  <c r="AD42" i="10"/>
  <c r="AI42" i="10" s="1"/>
  <c r="P41" i="15"/>
  <c r="O23" i="1"/>
  <c r="O26" i="27"/>
  <c r="P29" i="15"/>
  <c r="AE30" i="10"/>
  <c r="AJ30" i="10" s="1"/>
  <c r="O41" i="17"/>
  <c r="P17" i="17"/>
  <c r="V45" i="9"/>
  <c r="AD30" i="10"/>
  <c r="AI30" i="10" s="1"/>
  <c r="N41" i="15"/>
  <c r="V21" i="9"/>
  <c r="O24" i="6"/>
  <c r="O38" i="27"/>
  <c r="V33" i="9"/>
  <c r="O17" i="17"/>
  <c r="AF42" i="10"/>
  <c r="AK42" i="10" s="1"/>
  <c r="W31" i="10"/>
  <c r="AD43" i="10"/>
  <c r="AI43" i="10" s="1"/>
  <c r="AE31" i="10"/>
  <c r="AJ31" i="10" s="1"/>
  <c r="O37" i="6"/>
  <c r="O42" i="8"/>
  <c r="O22" i="9"/>
  <c r="O49" i="6"/>
  <c r="O25" i="6"/>
  <c r="O36" i="1"/>
  <c r="O51" i="27"/>
  <c r="O45" i="19"/>
  <c r="AD31" i="10"/>
  <c r="AI31" i="10" s="1"/>
  <c r="V34" i="9"/>
  <c r="N42" i="15"/>
  <c r="N30" i="15"/>
  <c r="P42" i="15"/>
  <c r="O39" i="27"/>
  <c r="O24" i="1"/>
  <c r="O20" i="1"/>
  <c r="O30" i="8"/>
  <c r="O30" i="15"/>
  <c r="O48" i="1"/>
  <c r="O18" i="8"/>
  <c r="X31" i="21"/>
  <c r="O27" i="27"/>
  <c r="V40" i="8"/>
  <c r="P27" i="17"/>
  <c r="AC33" i="21"/>
  <c r="O22" i="6"/>
  <c r="O21" i="1"/>
  <c r="AE40" i="10"/>
  <c r="AJ40" i="10" s="1"/>
  <c r="O42" i="9"/>
  <c r="AC34" i="21"/>
  <c r="O33" i="1"/>
  <c r="O27" i="17"/>
  <c r="O15" i="15"/>
  <c r="W47" i="10"/>
  <c r="O21" i="6"/>
  <c r="O37" i="9"/>
  <c r="W48" i="10"/>
  <c r="O32" i="6"/>
  <c r="W25" i="10"/>
  <c r="P15" i="15"/>
  <c r="P23" i="17"/>
  <c r="W24" i="10"/>
  <c r="Q30" i="21"/>
  <c r="O23" i="17"/>
  <c r="AD47" i="10"/>
  <c r="AI47" i="10" s="1"/>
  <c r="O50" i="19"/>
  <c r="O36" i="27"/>
  <c r="AC24" i="10"/>
  <c r="AH24" i="10" s="1"/>
  <c r="AF25" i="10"/>
  <c r="AK25" i="10" s="1"/>
  <c r="O47" i="27"/>
  <c r="AF48" i="10"/>
  <c r="AK48" i="10" s="1"/>
  <c r="V24" i="9"/>
  <c r="AC36" i="10"/>
  <c r="AH36" i="10" s="1"/>
  <c r="AC25" i="10"/>
  <c r="AH25" i="10" s="1"/>
  <c r="V36" i="9"/>
  <c r="O43" i="6"/>
  <c r="AD25" i="10"/>
  <c r="AI25" i="10" s="1"/>
  <c r="O51" i="8"/>
  <c r="AC48" i="10"/>
  <c r="AH48" i="10" s="1"/>
  <c r="W36" i="10"/>
  <c r="Q29" i="21"/>
  <c r="O52" i="1"/>
  <c r="AD36" i="10"/>
  <c r="AI36" i="10" s="1"/>
  <c r="AE36" i="10"/>
  <c r="AJ36" i="10" s="1"/>
  <c r="O20" i="19"/>
  <c r="AE48" i="10"/>
  <c r="AJ48" i="10" s="1"/>
  <c r="V49" i="19"/>
  <c r="O41" i="1"/>
  <c r="AF36" i="10"/>
  <c r="AK36" i="10" s="1"/>
  <c r="AE24" i="10"/>
  <c r="AJ24" i="10" s="1"/>
  <c r="AC47" i="10"/>
  <c r="AH47" i="10" s="1"/>
  <c r="AF46" i="10"/>
  <c r="AK46" i="10" s="1"/>
  <c r="O17" i="8"/>
  <c r="N43" i="17"/>
  <c r="P43" i="17"/>
  <c r="N31" i="17"/>
  <c r="V20" i="6"/>
  <c r="O29" i="8"/>
  <c r="O31" i="6"/>
  <c r="AC46" i="10"/>
  <c r="AH46" i="10" s="1"/>
  <c r="P40" i="15"/>
  <c r="AE23" i="10"/>
  <c r="AJ23" i="10" s="1"/>
  <c r="O40" i="15"/>
  <c r="W46" i="10"/>
  <c r="P31" i="17"/>
  <c r="V29" i="9"/>
  <c r="AD46" i="10"/>
  <c r="AI46" i="10" s="1"/>
  <c r="V54" i="6"/>
  <c r="O24" i="27"/>
  <c r="O46" i="19"/>
  <c r="N19" i="17"/>
  <c r="O52" i="8"/>
  <c r="W23" i="10"/>
  <c r="O49" i="1"/>
  <c r="O48" i="27"/>
  <c r="O17" i="9"/>
  <c r="AE46" i="10"/>
  <c r="AJ46" i="10" s="1"/>
  <c r="O42" i="6"/>
  <c r="P16" i="15"/>
  <c r="O35" i="1"/>
  <c r="AC30" i="10"/>
  <c r="AH30" i="10" s="1"/>
  <c r="O37" i="27"/>
  <c r="O39" i="8"/>
  <c r="O19" i="27"/>
  <c r="O41" i="6"/>
  <c r="V35" i="9"/>
  <c r="W44" i="10"/>
  <c r="AF33" i="10"/>
  <c r="AK33" i="10" s="1"/>
  <c r="V28" i="9"/>
  <c r="O25" i="27"/>
  <c r="O53" i="1"/>
  <c r="AC44" i="10"/>
  <c r="AH44" i="10" s="1"/>
  <c r="AC24" i="21"/>
  <c r="P38" i="17"/>
  <c r="O15" i="17"/>
  <c r="P35" i="15"/>
  <c r="P34" i="17"/>
  <c r="AE44" i="10"/>
  <c r="AJ44" i="10" s="1"/>
  <c r="V50" i="9"/>
  <c r="AC40" i="10"/>
  <c r="AH40" i="10" s="1"/>
  <c r="P15" i="17"/>
  <c r="P19" i="15"/>
  <c r="N23" i="15"/>
  <c r="AF30" i="10"/>
  <c r="AK30" i="10" s="1"/>
  <c r="O45" i="8"/>
  <c r="O46" i="9"/>
  <c r="O25" i="9"/>
  <c r="O53" i="6"/>
  <c r="O22" i="17"/>
  <c r="O49" i="8"/>
  <c r="N26" i="17"/>
  <c r="P31" i="15"/>
  <c r="N19" i="15"/>
  <c r="O45" i="6"/>
  <c r="AC32" i="21"/>
  <c r="P22" i="17"/>
  <c r="O26" i="17"/>
  <c r="N31" i="15"/>
  <c r="AD33" i="10"/>
  <c r="AI33" i="10" s="1"/>
  <c r="N38" i="17"/>
  <c r="P43" i="15"/>
  <c r="O23" i="15"/>
  <c r="W51" i="10"/>
  <c r="O32" i="19"/>
  <c r="M15" i="6"/>
  <c r="N43" i="15"/>
  <c r="W33" i="10"/>
  <c r="O59" i="8"/>
  <c r="O31" i="1"/>
  <c r="AD40" i="10"/>
  <c r="AI40" i="10" s="1"/>
  <c r="V20" i="9"/>
  <c r="O30" i="19"/>
  <c r="O34" i="17"/>
  <c r="AE51" i="10"/>
  <c r="AJ51" i="10" s="1"/>
  <c r="AF44" i="10"/>
  <c r="AK44" i="10" s="1"/>
  <c r="W40" i="10"/>
  <c r="AE33" i="10"/>
  <c r="AJ33" i="10" s="1"/>
  <c r="O19" i="19"/>
  <c r="O45" i="1"/>
  <c r="AF51" i="10"/>
  <c r="AK51" i="10" s="1"/>
  <c r="O29" i="27"/>
  <c r="W30" i="10"/>
  <c r="AF40" i="10"/>
  <c r="AK40" i="10" s="1"/>
  <c r="V41" i="27"/>
  <c r="O18" i="17"/>
  <c r="P42" i="17"/>
  <c r="P28" i="15"/>
  <c r="O39" i="1"/>
  <c r="AD29" i="10"/>
  <c r="AI29" i="10" s="1"/>
  <c r="O29" i="17"/>
  <c r="O32" i="27"/>
  <c r="O55" i="8"/>
  <c r="AC22" i="21"/>
  <c r="V41" i="19"/>
  <c r="O57" i="6"/>
  <c r="V40" i="9"/>
  <c r="O51" i="1"/>
  <c r="P29" i="17"/>
  <c r="AE18" i="10"/>
  <c r="AJ18" i="10" s="1"/>
  <c r="AF50" i="10"/>
  <c r="AK50" i="10" s="1"/>
  <c r="M15" i="9"/>
  <c r="O39" i="15"/>
  <c r="AC39" i="10"/>
  <c r="AH39" i="10" s="1"/>
  <c r="AE29" i="10"/>
  <c r="AJ29" i="10" s="1"/>
  <c r="O28" i="15"/>
  <c r="O50" i="1"/>
  <c r="P18" i="17"/>
  <c r="AE38" i="10"/>
  <c r="AJ38" i="10" s="1"/>
  <c r="W38" i="10"/>
  <c r="AC29" i="10"/>
  <c r="AH29" i="10" s="1"/>
  <c r="O52" i="19"/>
  <c r="AD18" i="10"/>
  <c r="AI18" i="10" s="1"/>
  <c r="O16" i="15"/>
  <c r="W28" i="10"/>
  <c r="O37" i="19"/>
  <c r="O23" i="8"/>
  <c r="P41" i="17"/>
  <c r="AC28" i="10"/>
  <c r="AH28" i="10" s="1"/>
  <c r="O35" i="19"/>
  <c r="N42" i="17"/>
  <c r="O34" i="8"/>
  <c r="O21" i="27"/>
  <c r="AE50" i="10"/>
  <c r="AJ50" i="10" s="1"/>
  <c r="AD39" i="10"/>
  <c r="AI39" i="10" s="1"/>
  <c r="W29" i="10"/>
  <c r="O54" i="8"/>
  <c r="O30" i="9"/>
  <c r="O56" i="6"/>
  <c r="O27" i="15"/>
  <c r="O46" i="6"/>
  <c r="W18" i="10"/>
  <c r="V41" i="9"/>
  <c r="O30" i="17"/>
  <c r="N17" i="15"/>
  <c r="AC38" i="10"/>
  <c r="AH38" i="10" s="1"/>
  <c r="AF38" i="10"/>
  <c r="AK38" i="10" s="1"/>
  <c r="W50" i="10"/>
  <c r="O29" i="1"/>
  <c r="O40" i="1"/>
  <c r="V23" i="27"/>
  <c r="O25" i="19"/>
  <c r="O50" i="27"/>
  <c r="P30" i="17"/>
  <c r="P27" i="15"/>
  <c r="AC50" i="10"/>
  <c r="AH50" i="10" s="1"/>
  <c r="AC18" i="10"/>
  <c r="AH18" i="10" s="1"/>
  <c r="AF18" i="10"/>
  <c r="AK18" i="10" s="1"/>
  <c r="AG29" i="10"/>
  <c r="AL29" i="10" s="1"/>
  <c r="W39" i="10"/>
  <c r="P39" i="15"/>
  <c r="P17" i="15"/>
  <c r="O31" i="9"/>
  <c r="O34" i="6"/>
  <c r="V24" i="19"/>
  <c r="O24" i="19"/>
  <c r="X36" i="21"/>
  <c r="V36" i="19"/>
  <c r="O36" i="19"/>
  <c r="V34" i="19"/>
  <c r="O34" i="19"/>
  <c r="M15" i="27"/>
  <c r="M15" i="8"/>
  <c r="X28" i="21"/>
  <c r="V22" i="19"/>
  <c r="O22" i="19"/>
  <c r="L56" i="27"/>
  <c r="A56" i="27" s="1"/>
  <c r="O39" i="17"/>
  <c r="AC36" i="21"/>
  <c r="X23" i="21"/>
  <c r="AC29" i="21"/>
  <c r="X24" i="21"/>
  <c r="M14" i="5"/>
  <c r="I25" i="21"/>
  <c r="P39" i="17"/>
  <c r="AC23" i="21"/>
  <c r="AC30" i="21"/>
  <c r="X29" i="21"/>
  <c r="O24" i="8"/>
  <c r="K178" i="13"/>
  <c r="X35" i="21"/>
  <c r="K118" i="13"/>
  <c r="O21" i="17"/>
  <c r="N21" i="17"/>
  <c r="X26" i="21"/>
  <c r="X21" i="21"/>
  <c r="AC28" i="21"/>
  <c r="O47" i="1"/>
  <c r="AD28" i="10"/>
  <c r="AI28" i="10" s="1"/>
  <c r="O43" i="9"/>
  <c r="V43" i="9"/>
  <c r="V19" i="9"/>
  <c r="O19" i="9"/>
  <c r="O40" i="27"/>
  <c r="O18" i="9"/>
  <c r="X27" i="21"/>
  <c r="X22" i="21"/>
  <c r="X32" i="21"/>
  <c r="V49" i="9"/>
  <c r="O49" i="9"/>
  <c r="X25" i="21"/>
  <c r="V48" i="9"/>
  <c r="AE28" i="10"/>
  <c r="AJ28" i="10" s="1"/>
  <c r="K58" i="13"/>
  <c r="X34" i="21"/>
  <c r="X33" i="21"/>
  <c r="O35" i="8"/>
  <c r="O17" i="1"/>
  <c r="O43" i="8"/>
  <c r="L55" i="19"/>
  <c r="A54" i="19" s="1"/>
  <c r="O16" i="10"/>
  <c r="AF28" i="10"/>
  <c r="AK28" i="10" s="1"/>
  <c r="V54" i="27"/>
  <c r="V48" i="6"/>
  <c r="O42" i="19"/>
  <c r="O23" i="19"/>
  <c r="K1" i="1"/>
  <c r="E61" i="13"/>
  <c r="E121" i="13" s="1"/>
  <c r="V54" i="5"/>
  <c r="Y51" i="9"/>
  <c r="H31" i="21" s="1"/>
  <c r="Y58" i="6"/>
  <c r="H25" i="21" s="1"/>
  <c r="E58" i="13"/>
  <c r="C36" i="21"/>
  <c r="F119" i="13"/>
  <c r="P35" i="17"/>
  <c r="AA33" i="21"/>
  <c r="AG36" i="21"/>
  <c r="AE36" i="21"/>
  <c r="Y55" i="27"/>
  <c r="H27" i="21" s="1"/>
  <c r="N28" i="17"/>
  <c r="AF43" i="10"/>
  <c r="AK43" i="10" s="1"/>
  <c r="AE43" i="10"/>
  <c r="AJ43" i="10" s="1"/>
  <c r="AC43" i="10"/>
  <c r="AH43" i="10" s="1"/>
  <c r="W43" i="10"/>
  <c r="AE35" i="10"/>
  <c r="AJ35" i="10" s="1"/>
  <c r="W35" i="10"/>
  <c r="AD35" i="10"/>
  <c r="AI35" i="10" s="1"/>
  <c r="AG35" i="10"/>
  <c r="AL35" i="10" s="1"/>
  <c r="V55" i="6"/>
  <c r="O55" i="6"/>
  <c r="O23" i="6"/>
  <c r="V23" i="6"/>
  <c r="N38" i="15"/>
  <c r="V33" i="19"/>
  <c r="O26" i="1"/>
  <c r="V26" i="1"/>
  <c r="M15" i="1"/>
  <c r="AE27" i="10"/>
  <c r="AJ27" i="10" s="1"/>
  <c r="AC27" i="10"/>
  <c r="AH27" i="10" s="1"/>
  <c r="AG27" i="10"/>
  <c r="AL27" i="10" s="1"/>
  <c r="AD27" i="10"/>
  <c r="AI27" i="10" s="1"/>
  <c r="P18" i="15"/>
  <c r="N18" i="15"/>
  <c r="AA27" i="21"/>
  <c r="AE19" i="10"/>
  <c r="AF19" i="10"/>
  <c r="AC19" i="10"/>
  <c r="AG19" i="10"/>
  <c r="AL19" i="10" s="1"/>
  <c r="AD19" i="10"/>
  <c r="V35" i="27"/>
  <c r="V46" i="8"/>
  <c r="O32" i="1"/>
  <c r="V32" i="1"/>
  <c r="AF47" i="10"/>
  <c r="AK47" i="10" s="1"/>
  <c r="AE47" i="10"/>
  <c r="AJ47" i="10" s="1"/>
  <c r="V42" i="27"/>
  <c r="O42" i="27"/>
  <c r="O28" i="17"/>
  <c r="O44" i="1"/>
  <c r="AA21" i="21"/>
  <c r="AL31" i="21"/>
  <c r="AA35" i="21"/>
  <c r="AA36" i="21"/>
  <c r="T58" i="13"/>
  <c r="T178" i="13"/>
  <c r="O35" i="17"/>
  <c r="U44" i="15"/>
  <c r="AS52" i="10"/>
  <c r="H33" i="21" s="1"/>
  <c r="AE39" i="10"/>
  <c r="AJ39" i="10" s="1"/>
  <c r="AF39" i="10"/>
  <c r="AK39" i="10" s="1"/>
  <c r="AC31" i="10"/>
  <c r="AH31" i="10" s="1"/>
  <c r="AG31" i="10"/>
  <c r="AL31" i="10" s="1"/>
  <c r="V27" i="19"/>
  <c r="O38" i="15"/>
  <c r="Y60" i="8"/>
  <c r="P32" i="15"/>
  <c r="O32" i="15"/>
  <c r="I178" i="13"/>
  <c r="O38" i="1"/>
  <c r="V38" i="1"/>
  <c r="AG51" i="10"/>
  <c r="AL51" i="10" s="1"/>
  <c r="AC23" i="10"/>
  <c r="AH23" i="10" s="1"/>
  <c r="AD23" i="10"/>
  <c r="AI23" i="10" s="1"/>
  <c r="AG23" i="10"/>
  <c r="AL23" i="10" s="1"/>
  <c r="E60" i="13"/>
  <c r="M15" i="19"/>
  <c r="V28" i="19"/>
  <c r="V26" i="19"/>
  <c r="O31" i="19"/>
  <c r="O29" i="19"/>
  <c r="V18" i="1"/>
  <c r="G53" i="13" l="1"/>
  <c r="G72" i="13"/>
  <c r="G103" i="13"/>
  <c r="G158" i="13"/>
  <c r="G38" i="13"/>
  <c r="Q39" i="21"/>
  <c r="S35" i="21"/>
  <c r="S38" i="21"/>
  <c r="G79" i="13"/>
  <c r="G94" i="13"/>
  <c r="G105" i="13"/>
  <c r="H21" i="21"/>
  <c r="AF24" i="21"/>
  <c r="D40" i="21"/>
  <c r="D44" i="21" s="1"/>
  <c r="G25" i="13"/>
  <c r="G147" i="13"/>
  <c r="AG23" i="21"/>
  <c r="G101" i="13"/>
  <c r="G172" i="13"/>
  <c r="L52" i="9"/>
  <c r="A52" i="9" s="1"/>
  <c r="G51" i="13"/>
  <c r="G148" i="13"/>
  <c r="G85" i="13"/>
  <c r="G132" i="13"/>
  <c r="G86" i="13"/>
  <c r="G145" i="13"/>
  <c r="AF22" i="21"/>
  <c r="G81" i="13"/>
  <c r="G171" i="13"/>
  <c r="G32" i="13"/>
  <c r="G107" i="13"/>
  <c r="G55" i="13"/>
  <c r="H29" i="21"/>
  <c r="F7" i="15"/>
  <c r="F7" i="17"/>
  <c r="K2" i="5"/>
  <c r="K2" i="6" s="1"/>
  <c r="K2" i="27" s="1"/>
  <c r="K2" i="8" s="1"/>
  <c r="G176" i="13"/>
  <c r="G177" i="13"/>
  <c r="G23" i="13"/>
  <c r="G165" i="13"/>
  <c r="G111" i="13"/>
  <c r="G16" i="13"/>
  <c r="G174" i="13"/>
  <c r="G22" i="13"/>
  <c r="G170" i="13"/>
  <c r="G83" i="13"/>
  <c r="G167" i="13"/>
  <c r="G115" i="13"/>
  <c r="G19" i="13"/>
  <c r="G138" i="13"/>
  <c r="G114" i="13"/>
  <c r="G104" i="13"/>
  <c r="G57" i="13"/>
  <c r="G49" i="13"/>
  <c r="G142" i="13"/>
  <c r="G154" i="13"/>
  <c r="G159" i="13"/>
  <c r="G168" i="13"/>
  <c r="G41" i="13"/>
  <c r="G54" i="13"/>
  <c r="G24" i="13"/>
  <c r="G15" i="13"/>
  <c r="G33" i="13"/>
  <c r="G150" i="13"/>
  <c r="G166" i="13"/>
  <c r="G160" i="13"/>
  <c r="G48" i="13"/>
  <c r="G39" i="13"/>
  <c r="G116" i="13"/>
  <c r="G100" i="13"/>
  <c r="G136" i="13"/>
  <c r="G82" i="13"/>
  <c r="G140" i="13"/>
  <c r="G161" i="13"/>
  <c r="G110" i="13"/>
  <c r="G90" i="13"/>
  <c r="G34" i="13"/>
  <c r="G146" i="13"/>
  <c r="G12" i="13"/>
  <c r="G155" i="13"/>
  <c r="G91" i="13"/>
  <c r="G31" i="13"/>
  <c r="G88" i="13"/>
  <c r="G78" i="13"/>
  <c r="G152" i="13"/>
  <c r="G18" i="13"/>
  <c r="G92" i="13"/>
  <c r="G175" i="13"/>
  <c r="G27" i="13"/>
  <c r="G46" i="13"/>
  <c r="G108" i="13"/>
  <c r="G37" i="13"/>
  <c r="G143" i="13"/>
  <c r="G17" i="13"/>
  <c r="G43" i="13"/>
  <c r="G173" i="13"/>
  <c r="G42" i="13"/>
  <c r="G102" i="13"/>
  <c r="G96" i="13"/>
  <c r="G117" i="13"/>
  <c r="G137" i="13"/>
  <c r="G93" i="13"/>
  <c r="G87" i="13"/>
  <c r="G135" i="13"/>
  <c r="G156" i="13"/>
  <c r="G28" i="13"/>
  <c r="G112" i="13"/>
  <c r="G109" i="13"/>
  <c r="G144" i="13"/>
  <c r="G163" i="13"/>
  <c r="G56" i="13"/>
  <c r="G97" i="13"/>
  <c r="G106" i="13"/>
  <c r="G151" i="13"/>
  <c r="G44" i="13"/>
  <c r="G73" i="13"/>
  <c r="G169" i="13"/>
  <c r="G139" i="13"/>
  <c r="G80" i="13"/>
  <c r="G20" i="13"/>
  <c r="G13" i="13"/>
  <c r="G29" i="13"/>
  <c r="G84" i="13"/>
  <c r="G162" i="13"/>
  <c r="G52" i="13"/>
  <c r="G157" i="13"/>
  <c r="G113" i="13"/>
  <c r="G40" i="13"/>
  <c r="G98" i="13"/>
  <c r="G35" i="13"/>
  <c r="G133" i="13"/>
  <c r="G26" i="13"/>
  <c r="G153" i="13"/>
  <c r="G30" i="13"/>
  <c r="G75" i="13"/>
  <c r="G99" i="13"/>
  <c r="G47" i="13"/>
  <c r="G95" i="13"/>
  <c r="G50" i="13"/>
  <c r="G77" i="13"/>
  <c r="G164" i="13"/>
  <c r="G21" i="13"/>
  <c r="G36" i="13"/>
  <c r="G76" i="13"/>
  <c r="G14" i="13"/>
  <c r="G149" i="13"/>
  <c r="G89" i="13"/>
  <c r="G74" i="13"/>
  <c r="G141" i="13"/>
  <c r="G45" i="13"/>
  <c r="V60" i="8"/>
  <c r="R30" i="21"/>
  <c r="Q36" i="21"/>
  <c r="Q38" i="21"/>
  <c r="S36" i="21"/>
  <c r="Q35" i="21"/>
  <c r="V58" i="6"/>
  <c r="N44" i="15"/>
  <c r="B44" i="15" s="1"/>
  <c r="V51" i="9"/>
  <c r="L54" i="9" s="1"/>
  <c r="N44" i="17"/>
  <c r="B44" i="17" s="1"/>
  <c r="O44" i="15"/>
  <c r="C44" i="15" s="1"/>
  <c r="V55" i="1"/>
  <c r="V53" i="19"/>
  <c r="V55" i="27"/>
  <c r="P44" i="17"/>
  <c r="D44" i="17" s="1"/>
  <c r="O44" i="17"/>
  <c r="C44" i="17" s="1"/>
  <c r="P44" i="15"/>
  <c r="D44" i="15" s="1"/>
  <c r="AD52" i="10"/>
  <c r="AI19" i="10"/>
  <c r="AI52" i="10" s="1"/>
  <c r="E118" i="13"/>
  <c r="E120" i="13"/>
  <c r="F179" i="13"/>
  <c r="E119" i="13"/>
  <c r="AL52" i="10"/>
  <c r="AH19" i="10"/>
  <c r="AH52" i="10" s="1"/>
  <c r="AC52" i="10"/>
  <c r="AK19" i="10"/>
  <c r="AK52" i="10" s="1"/>
  <c r="AF52" i="10"/>
  <c r="AJ19" i="10"/>
  <c r="AJ52" i="10" s="1"/>
  <c r="AE52" i="10"/>
  <c r="F5" i="15"/>
  <c r="F5" i="17"/>
  <c r="K1" i="5" s="1"/>
  <c r="K1" i="6" s="1"/>
  <c r="K1" i="27" s="1"/>
  <c r="K1" i="8" s="1"/>
  <c r="T179" i="13"/>
  <c r="H19" i="21" s="1"/>
  <c r="R33" i="21" l="1"/>
  <c r="Q37" i="21"/>
  <c r="T26" i="21" s="1"/>
  <c r="T27" i="21" s="1"/>
  <c r="R32" i="21"/>
  <c r="B6" i="21" s="1"/>
  <c r="B39" i="21" s="1"/>
  <c r="F7" i="21"/>
  <c r="C2" i="21" s="1"/>
  <c r="H178" i="13"/>
  <c r="D127" i="13" s="1"/>
  <c r="H58" i="13"/>
  <c r="H118" i="13"/>
  <c r="D67" i="13" s="1"/>
  <c r="E179" i="13"/>
  <c r="E178" i="13"/>
  <c r="E180" i="13"/>
  <c r="AI23" i="21"/>
  <c r="AI28" i="21"/>
  <c r="AI31" i="21"/>
  <c r="Y36" i="21"/>
  <c r="Y30" i="21"/>
  <c r="AI27" i="21"/>
  <c r="Y33" i="21"/>
  <c r="AI25" i="21"/>
  <c r="Y32" i="21"/>
  <c r="AI30" i="21"/>
  <c r="Y31" i="21"/>
  <c r="AI32" i="21"/>
  <c r="AI26" i="21"/>
  <c r="AI36" i="21"/>
  <c r="Y21" i="21"/>
  <c r="AI35" i="21"/>
  <c r="AI24" i="21"/>
  <c r="AI22" i="21"/>
  <c r="Y25" i="21"/>
  <c r="Y34" i="21"/>
  <c r="AI21" i="21"/>
  <c r="Y22" i="21"/>
  <c r="Y35" i="21"/>
  <c r="AI29" i="21"/>
  <c r="Y27" i="21"/>
  <c r="Y29" i="21"/>
  <c r="AI33" i="21"/>
  <c r="Y24" i="21"/>
  <c r="Y26" i="21"/>
  <c r="AI34" i="21"/>
  <c r="Y23" i="21"/>
  <c r="Y28" i="21"/>
  <c r="N56" i="10"/>
  <c r="B7" i="21" l="1"/>
  <c r="N6" i="21"/>
  <c r="D7" i="13"/>
</calcChain>
</file>

<file path=xl/sharedStrings.xml><?xml version="1.0" encoding="utf-8"?>
<sst xmlns="http://schemas.openxmlformats.org/spreadsheetml/2006/main" count="4006" uniqueCount="1927">
  <si>
    <t>Tolls</t>
  </si>
  <si>
    <t>Parking Permits</t>
  </si>
  <si>
    <t>Parking Expenses</t>
  </si>
  <si>
    <t>Prayer letters</t>
  </si>
  <si>
    <t>Newsletters</t>
  </si>
  <si>
    <t>Meals with donors &amp; potential donors</t>
  </si>
  <si>
    <t>Presentations for donors, etc.</t>
  </si>
  <si>
    <t>Entertaining donors, etc.</t>
  </si>
  <si>
    <t>Office Rent</t>
  </si>
  <si>
    <t>Printer Paper</t>
  </si>
  <si>
    <t>Printer Cartridges/Ribbons</t>
  </si>
  <si>
    <t>File Cabinets</t>
  </si>
  <si>
    <t>Calculators</t>
  </si>
  <si>
    <t>Seminars</t>
  </si>
  <si>
    <t>Books</t>
  </si>
  <si>
    <t>Tapes</t>
  </si>
  <si>
    <t>ISI Conferences</t>
  </si>
  <si>
    <t>Training</t>
  </si>
  <si>
    <t>Materials for ICF meetings</t>
  </si>
  <si>
    <t>ALL DIRECT COSTS PERTAINING TO YOUR MINISTRY OUTREACH</t>
  </si>
  <si>
    <t>Handouts for students</t>
  </si>
  <si>
    <t>Planning Meetings</t>
  </si>
  <si>
    <t>Computers</t>
  </si>
  <si>
    <t>Other Assets with a life greater than one year</t>
  </si>
  <si>
    <t>Telephones</t>
  </si>
  <si>
    <t>Office Furniture</t>
  </si>
  <si>
    <t>Ministry Operations Grand Total</t>
  </si>
  <si>
    <t>EXAMPLES</t>
  </si>
  <si>
    <t>Date</t>
  </si>
  <si>
    <t>Ministry purpose</t>
  </si>
  <si>
    <t>Location</t>
  </si>
  <si>
    <t>Amount</t>
  </si>
  <si>
    <t>From</t>
  </si>
  <si>
    <t>To</t>
  </si>
  <si>
    <t>Total Miles</t>
  </si>
  <si>
    <t>Staff:</t>
  </si>
  <si>
    <t>Total in $$</t>
  </si>
  <si>
    <t>Subtotal</t>
  </si>
  <si>
    <t>Breakfast</t>
  </si>
  <si>
    <t>Lunch</t>
  </si>
  <si>
    <t>Supper</t>
  </si>
  <si>
    <t>Number of Guest at Meal:</t>
  </si>
  <si>
    <t>x Rate</t>
  </si>
  <si>
    <t>Totl</t>
  </si>
  <si>
    <t xml:space="preserve"> Out of Town Travel Grand Total</t>
  </si>
  <si>
    <t>Office Expense Grand Total</t>
  </si>
  <si>
    <t>Donor Grand Total</t>
  </si>
  <si>
    <t>Transportation Grand Total</t>
  </si>
  <si>
    <t>Name of Donor</t>
  </si>
  <si>
    <t>TOTAL</t>
  </si>
  <si>
    <t>Total from Meals sheet</t>
  </si>
  <si>
    <t>Page Total</t>
  </si>
  <si>
    <t>Monthly Meals Sheet-Donors</t>
  </si>
  <si>
    <t>Meals Sheet Total</t>
  </si>
  <si>
    <t>Title of book or course</t>
  </si>
  <si>
    <t>Category Total</t>
  </si>
  <si>
    <t>Name of Item</t>
  </si>
  <si>
    <t>Signatures</t>
  </si>
  <si>
    <t>Requestor</t>
  </si>
  <si>
    <t>Finance</t>
  </si>
  <si>
    <t>Date received</t>
  </si>
  <si>
    <t>Spending Category</t>
  </si>
  <si>
    <t>For Finance Use Only</t>
  </si>
  <si>
    <t>For Accounting use only</t>
  </si>
  <si>
    <t>Account</t>
  </si>
  <si>
    <t>Transportation</t>
  </si>
  <si>
    <t>Donor Care</t>
  </si>
  <si>
    <t>Batch Number</t>
  </si>
  <si>
    <t>Office Expense</t>
  </si>
  <si>
    <t>Out-of-town Travel</t>
  </si>
  <si>
    <t>Professional Growth</t>
  </si>
  <si>
    <t>Ministry Operations</t>
  </si>
  <si>
    <t>Less Advance</t>
  </si>
  <si>
    <t>Email/Internet Fees</t>
  </si>
  <si>
    <t>(Examples: Prayer letters, newsletters, meals, entertaining, etc)</t>
  </si>
  <si>
    <t>(Examples: Seminars, books, tapes, conferences, &amp; training)</t>
  </si>
  <si>
    <t>(Examples: Computers, calculators, file cabinets, furniture, etc.)</t>
  </si>
  <si>
    <t>Total Reimbursement</t>
  </si>
  <si>
    <t>Telephone</t>
  </si>
  <si>
    <t>Postage</t>
  </si>
  <si>
    <t>Name</t>
  </si>
  <si>
    <t xml:space="preserve">Staff: </t>
  </si>
  <si>
    <t>Sub-Total</t>
  </si>
  <si>
    <t>Name of Vendor</t>
  </si>
  <si>
    <t>Project/Department</t>
  </si>
  <si>
    <t>[Examples: Mileage (from attached log), tolls, parking permits, etc.]</t>
  </si>
  <si>
    <t>(Examples: Rent, telephone, office supplies, postage, copies)</t>
  </si>
  <si>
    <t>(Examples: Airfare, rental car, hotels, food, misc. travel expense)</t>
  </si>
  <si>
    <t>(Examples: Expenses related to students, literature, outreach)</t>
  </si>
  <si>
    <t>Name of person</t>
  </si>
  <si>
    <t>(Company/Restaurant and City and State)</t>
  </si>
  <si>
    <t>Rate/Mile</t>
  </si>
  <si>
    <t>Name of Person</t>
  </si>
  <si>
    <t>(Company/Store and City and State)</t>
  </si>
  <si>
    <t>(Company/Hotel/Airline and City and State)</t>
  </si>
  <si>
    <t>Out-of-town ISI ministry travel (mileage should be put on the Mileage Log)</t>
  </si>
  <si>
    <t>(Company and City and State)</t>
  </si>
  <si>
    <t>Name of Student</t>
  </si>
  <si>
    <t>(Company)</t>
  </si>
  <si>
    <t>Mileage (from attached Mileage Log)</t>
  </si>
  <si>
    <t>Amount from Mileage Log</t>
  </si>
  <si>
    <t xml:space="preserve">*Requests must be submitted within 60 days of expense </t>
  </si>
  <si>
    <t xml:space="preserve">  being incurred.</t>
  </si>
  <si>
    <t>(MM/DD/YY)</t>
  </si>
  <si>
    <t>(mm/dd/yy)</t>
  </si>
  <si>
    <t>**Deadline to submit form to the Home Office is 5pm MST</t>
  </si>
  <si>
    <t>Required Field (example 5111)</t>
  </si>
  <si>
    <t>Project</t>
  </si>
  <si>
    <t>Month/Year (MM/DD/YY):</t>
  </si>
  <si>
    <t>Dept/Project</t>
  </si>
  <si>
    <t>Date Submitted</t>
  </si>
  <si>
    <t>Month/Year/Description</t>
  </si>
  <si>
    <t>Page 2 of</t>
  </si>
  <si>
    <t>(enter expense category)</t>
  </si>
  <si>
    <t>Second page of</t>
  </si>
  <si>
    <t>PD=Partnership Development</t>
  </si>
  <si>
    <t>ICF=International Christian Fellowship</t>
  </si>
  <si>
    <t>Capital Equipment &lt; $1,000(Eqmnt Exp)</t>
  </si>
  <si>
    <t xml:space="preserve">Record value of asset:           DR (asset gl)/No Proj                       Cr 22170/No Proj                 </t>
  </si>
  <si>
    <t>Count receipts</t>
  </si>
  <si>
    <t>capital equip &gt; 1000</t>
  </si>
  <si>
    <t>capital equip on payment plan</t>
  </si>
  <si>
    <t>****ISI Home Office Fax #: (719) 576-5363</t>
  </si>
  <si>
    <t>old rate date</t>
  </si>
  <si>
    <t>new rate date</t>
  </si>
  <si>
    <t>old adj</t>
  </si>
  <si>
    <t>new adj</t>
  </si>
  <si>
    <t>Executive Office HO</t>
  </si>
  <si>
    <t>Abbreviations:</t>
  </si>
  <si>
    <t>Destination (name &amp; location)</t>
  </si>
  <si>
    <t>(example: Home or address)</t>
  </si>
  <si>
    <t>(example: walmart on st. or address)</t>
  </si>
  <si>
    <t>Ministry Purpose                 (see abbreviation box)</t>
  </si>
  <si>
    <t>ICF=Int'l Christian Fellowship</t>
  </si>
  <si>
    <t>Payment plans</t>
  </si>
  <si>
    <t>Purchase Price</t>
  </si>
  <si>
    <t>payment #</t>
  </si>
  <si>
    <t>Lincoln NE City (5007) 15% {Spaulding}</t>
  </si>
  <si>
    <t>Boston, MA  (5806) 15% {hope}</t>
  </si>
  <si>
    <t>Colorado Springs (5810) 15% {halverson}</t>
  </si>
  <si>
    <t>Training Events (5812) 15% {decker}</t>
  </si>
  <si>
    <t>DU Ministry (5814) 15% {compton}</t>
  </si>
  <si>
    <t>Eugene Area (5815) 15% {smith}</t>
  </si>
  <si>
    <t>North Texas ISM (5816) 15% {yabuki}</t>
  </si>
  <si>
    <t>Rochester City (5819) 15% {larson}</t>
  </si>
  <si>
    <t>Twin Cities City (5820) 15% {Hutton}</t>
  </si>
  <si>
    <t>Virginia Scholarships (5825) 0% {truex}</t>
  </si>
  <si>
    <t>Phoenix City (5828) 15% {crowell}</t>
  </si>
  <si>
    <t>Rapid City Events (5843) 5%5% {fannin}</t>
  </si>
  <si>
    <t>Durham City (5844) 15% {hawkins}</t>
  </si>
  <si>
    <t>Greensboro, NC (5847) 15% {wesselink}</t>
  </si>
  <si>
    <t>East Bay City (5856) 15% {harper}</t>
  </si>
  <si>
    <t>Ft. Collins Events (5857) 5%5% {babcock}</t>
  </si>
  <si>
    <t>Rapid City, SD Ops (5858) 15% {fannin}</t>
  </si>
  <si>
    <t>Bakersfield, CA(5868) 15% {davis}</t>
  </si>
  <si>
    <t>Portland Scholarships (5876) 0% {sinclair}</t>
  </si>
  <si>
    <t>A&amp;M Campus, TX (5879) 15% {marshall}</t>
  </si>
  <si>
    <t>Riverside County, CA (5886) 15% {zeigler}</t>
  </si>
  <si>
    <t>A&amp;M Student Sponsorships (5889) 0% {marshall}</t>
  </si>
  <si>
    <t>San Jose, CA (5902) 15% {zeigler}</t>
  </si>
  <si>
    <t xml:space="preserve"> </t>
  </si>
  <si>
    <t>Vendor Name</t>
  </si>
  <si>
    <t>Status</t>
  </si>
  <si>
    <t>invoice</t>
  </si>
  <si>
    <t>vendor_id</t>
  </si>
  <si>
    <t>due date</t>
  </si>
  <si>
    <t>FUND</t>
  </si>
  <si>
    <t>GL</t>
  </si>
  <si>
    <t>dept</t>
  </si>
  <si>
    <t xml:space="preserve">debit </t>
  </si>
  <si>
    <t>credit</t>
  </si>
  <si>
    <t>Session Description</t>
  </si>
  <si>
    <t>Total</t>
  </si>
  <si>
    <t>Invoice Number</t>
  </si>
  <si>
    <t>session ID</t>
  </si>
  <si>
    <t>Adidjaja, Elgeritte (5207) Min Rep 15%</t>
  </si>
  <si>
    <t>Frahm, George (5174) min rep 15%</t>
  </si>
  <si>
    <t>Freesen, Guy (5463) min rep 15%</t>
  </si>
  <si>
    <t>Friesen, Julie (5163) Min Rep 15%</t>
  </si>
  <si>
    <t>Correctiion</t>
  </si>
  <si>
    <t>lunch</t>
  </si>
  <si>
    <t>dinner</t>
  </si>
  <si>
    <t xml:space="preserve"> Doc desc</t>
  </si>
  <si>
    <t>Monthly Reimbursements</t>
  </si>
  <si>
    <t>Office Use only</t>
  </si>
  <si>
    <t>break</t>
  </si>
  <si>
    <t>office use only</t>
  </si>
  <si>
    <t>please enter advance code here</t>
  </si>
  <si>
    <t>Abrams Special (5445) 10%</t>
  </si>
  <si>
    <t>Adrian, Special (5365) 10%</t>
  </si>
  <si>
    <t>Apgar Special (5211) 10%</t>
  </si>
  <si>
    <t>Babcock Special (5491) 10%</t>
  </si>
  <si>
    <t>Barnett Special (5495) 10%</t>
  </si>
  <si>
    <t>Becker Special (5779) 10%</t>
  </si>
  <si>
    <t>Berger Special (5582) 10%</t>
  </si>
  <si>
    <t>Boston Events (5895) 5%5% {Hope}</t>
  </si>
  <si>
    <t>Braintwain Special (5179) 10%</t>
  </si>
  <si>
    <t>Broward County (5343) 25%</t>
  </si>
  <si>
    <t>Burton Special (5673) min rep 10%</t>
  </si>
  <si>
    <t>Cain Special Fund (5359) 10%</t>
  </si>
  <si>
    <t>Carlson Special (5457) 10%</t>
  </si>
  <si>
    <t>Chijindu, Emmanuel (5448) 15%</t>
  </si>
  <si>
    <t>Christofer, Hannah (5361) 15%</t>
  </si>
  <si>
    <t>Chun, David (5225) 15%</t>
  </si>
  <si>
    <t>Cincinati City (5809) 10% {Germann}</t>
  </si>
  <si>
    <t>Clements, John (5335) 15%</t>
  </si>
  <si>
    <t>Congdon Special (5138)10%</t>
  </si>
  <si>
    <t>Crowell, Teri (5904) 15%</t>
  </si>
  <si>
    <t>Cutler Special (5339) 10%</t>
  </si>
  <si>
    <t>Decker Car Replacement Account (5510) 10%</t>
  </si>
  <si>
    <t>Decker Special Trip Account (5509) 10%</t>
  </si>
  <si>
    <t>Depalatis Special (5788) 10%</t>
  </si>
  <si>
    <t>Desai Special (5310) 10%</t>
  </si>
  <si>
    <t>Douglass Special (5648) 10%</t>
  </si>
  <si>
    <t>Dunne Special (5271) 10%</t>
  </si>
  <si>
    <t>Fannin Special (5176) 10%</t>
  </si>
  <si>
    <t>Fife, Joan &amp; Eric (5744) 8.5%</t>
  </si>
  <si>
    <t>Fitgerald Special(5691) min rep 10%</t>
  </si>
  <si>
    <t>Foti, Vicky (5231) 15%</t>
  </si>
  <si>
    <t>Gengler, Tom (5455) 15%</t>
  </si>
  <si>
    <t>Godwin Special (5384) 10%</t>
  </si>
  <si>
    <t>Gordon, Jocelyn (5585) 8.5%</t>
  </si>
  <si>
    <t>Hadley Special (5385) 10%</t>
  </si>
  <si>
    <t>Halligan Special (5595) 10%</t>
  </si>
  <si>
    <t>Hawkins Special (5586) 10%</t>
  </si>
  <si>
    <t>Hershberger, Mike (5378) 15%</t>
  </si>
  <si>
    <t>Johnson, Edith (5577) 8.5%</t>
  </si>
  <si>
    <t>Joseph Special (5573) 10%</t>
  </si>
  <si>
    <t>Kalamazoo City (5837) 15% {Germann}</t>
  </si>
  <si>
    <t>Katekaru Special (5486) min rep 15%</t>
  </si>
  <si>
    <t>Kronstad Special (5213) 15%</t>
  </si>
  <si>
    <t>Kruger Memorial/City Ministries (5500) 15%</t>
  </si>
  <si>
    <t>Larson Special Fund (5538) 10%</t>
  </si>
  <si>
    <t>Lawecki Special (5450) 10%</t>
  </si>
  <si>
    <t>Leung Special (5316) 10%</t>
  </si>
  <si>
    <t>Leung, Stephen (5315) 15%</t>
  </si>
  <si>
    <t>Maneevone Special (5700) 10%</t>
  </si>
  <si>
    <t>Manta Special (5454) 10%</t>
  </si>
  <si>
    <t>Marques, Karol (5155) min rep 15%</t>
  </si>
  <si>
    <t>Marshall Special (5775) 10%</t>
  </si>
  <si>
    <t>McFarland, Howard (5670) 8.5%</t>
  </si>
  <si>
    <t>Mitchell Special (5899) 10%</t>
  </si>
  <si>
    <t>Mitchell, Bill (5792) 15%</t>
  </si>
  <si>
    <t>Moseley, Jennifer (5387) min rep 15%</t>
  </si>
  <si>
    <t>Murchison Special (5437) min rep 10%</t>
  </si>
  <si>
    <t>Northridge Area, CA (5012) 15% {Downs}</t>
  </si>
  <si>
    <t>Notehelfer Special (5416) 10%</t>
  </si>
  <si>
    <t>Ong, Andre (5530) min rep 15%</t>
  </si>
  <si>
    <t>Ou-yang Special (5373) 10%</t>
  </si>
  <si>
    <t>Parkins, Daniel (5127) 15%</t>
  </si>
  <si>
    <t>Pingel Special (5478) 10%</t>
  </si>
  <si>
    <t>Pingel, Kirsten (5477) 15%</t>
  </si>
  <si>
    <t>Portland Student Trips (5499) 15%</t>
  </si>
  <si>
    <t>Quek Special (5371) 10%</t>
  </si>
  <si>
    <t>Redding, Millie (5923) 8.5%</t>
  </si>
  <si>
    <t>Reid, Buck (5669) min rep 15%</t>
  </si>
  <si>
    <t>Runyon, Stephen (5490) min rep 15%</t>
  </si>
  <si>
    <t>Saur, Ted &amp; Denise (5768) minn rep 15%</t>
  </si>
  <si>
    <t>Shelling, Ted (5722) 8.5%</t>
  </si>
  <si>
    <t>Shih Special (5663) 10%</t>
  </si>
  <si>
    <t>Sinclair Special (5484) 10%</t>
  </si>
  <si>
    <t>Sodergren, David (5208) 15%</t>
  </si>
  <si>
    <t>Sodergren, Special (5209) 10%</t>
  </si>
  <si>
    <t>Spady Special (5668) 10%</t>
  </si>
  <si>
    <t>Spady, Jim (5667) 15%</t>
  </si>
  <si>
    <t>Spaulding Special (5171) 10%</t>
  </si>
  <si>
    <t>Storms, David (5425) min rep 15%</t>
  </si>
  <si>
    <t>Swastek - Special (5791) 10%</t>
  </si>
  <si>
    <t>Thiagarajan, S &amp; R (5654) 8.5%</t>
  </si>
  <si>
    <t>Townsend, Opal (5708) 8.5%</t>
  </si>
  <si>
    <t>Trotman Special (5517) 10%</t>
  </si>
  <si>
    <t>Truex, Aubrey (5356) 15%</t>
  </si>
  <si>
    <t>van Ouwerkerk, Ed &amp; Margreet (5217) 15%</t>
  </si>
  <si>
    <t>Wesselink, Jesse (5590) 15%</t>
  </si>
  <si>
    <t>Whitman, Mort (5368) 15%</t>
  </si>
  <si>
    <t>Witjandra, Fredinan (5469) 15%</t>
  </si>
  <si>
    <t>Wun, Nathan (5460) 15%</t>
  </si>
  <si>
    <t>Younkin Dan (5331) 15%</t>
  </si>
  <si>
    <t>Zhang, Abraham (5167) 15%</t>
  </si>
  <si>
    <t>Zhao, Yun-Juan (5781) min rep 15%</t>
  </si>
  <si>
    <t>beginning of month</t>
  </si>
  <si>
    <t>Deadline</t>
  </si>
  <si>
    <t>day of week</t>
  </si>
  <si>
    <t>Number of receipts received</t>
  </si>
  <si>
    <r>
      <rPr>
        <b/>
        <sz val="12"/>
        <rFont val="Arial"/>
        <family val="2"/>
      </rPr>
      <t>Student/Volunteers</t>
    </r>
    <r>
      <rPr>
        <b/>
        <sz val="8"/>
        <rFont val="Arial"/>
        <family val="2"/>
      </rPr>
      <t xml:space="preserve">                             (no hosts)                                       (use as multiple lines if needed)</t>
    </r>
  </si>
  <si>
    <t>Normal purchase</t>
  </si>
  <si>
    <t>initials</t>
  </si>
  <si>
    <t>correction explanation</t>
  </si>
  <si>
    <t>amt  +/-</t>
  </si>
  <si>
    <t>disallowed</t>
  </si>
  <si>
    <t>reason for adjustment</t>
  </si>
  <si>
    <t>Disallowed</t>
  </si>
  <si>
    <t>disallow</t>
  </si>
  <si>
    <t>normal activity</t>
  </si>
  <si>
    <t>adjusted by HO</t>
  </si>
  <si>
    <t>=LEN(D2)</t>
  </si>
  <si>
    <t>=SEARCH("(",D2,1)</t>
  </si>
  <si>
    <t>50th Anniversary Fundraising Init. (5150) 25%</t>
  </si>
  <si>
    <t>Abrams, Rob &amp; Kelly (5444) 15%</t>
  </si>
  <si>
    <t>Adrian, Anne (5364) 15%</t>
  </si>
  <si>
    <t>Akhtar, Rasheed (5317) 15%</t>
  </si>
  <si>
    <t>Allen Norm Special (5559) 15%</t>
  </si>
  <si>
    <t>Allen, Norm (5764) 15%</t>
  </si>
  <si>
    <t>Althouse, Valerie (5391) 15%</t>
  </si>
  <si>
    <t>Alumbaugh, Jon &amp; Ruth (5141) min rep 15%</t>
  </si>
  <si>
    <t>Ames, IA (5802) 15% {Hansen}</t>
  </si>
  <si>
    <t>Anthony, Jeff (5394) 15%</t>
  </si>
  <si>
    <t>Antoniuk, Jeanette (5561) 15%</t>
  </si>
  <si>
    <t>Apgar, Don &amp; Sue (5210) 15%</t>
  </si>
  <si>
    <t>Arant, Julie (5156) min rep 15%</t>
  </si>
  <si>
    <t>Baker, Herb/Gloria (5660) 8.5%</t>
  </si>
  <si>
    <t>Becker, Judith (5777) 15%</t>
  </si>
  <si>
    <t>Berger, John &amp; Linda (5581) 15%</t>
  </si>
  <si>
    <t>Bevans, Seth (5367) 15%</t>
  </si>
  <si>
    <t>Blackburn, Eleanor (5534) 15%</t>
  </si>
  <si>
    <t>Boise, ID (5846) 15% {dunne}</t>
  </si>
  <si>
    <t>Boston Scholar (5873) 0% {hope}</t>
  </si>
  <si>
    <t>Boyle, Charles &amp; Tracey (5342) 15%</t>
  </si>
  <si>
    <t>Braintwain, Steve (5178) 15%</t>
  </si>
  <si>
    <t>Brannen, Dan &amp; Carolyn (5706) 10%</t>
  </si>
  <si>
    <t>Brannen, Dan Special (5431) 10%</t>
  </si>
  <si>
    <t>Bullington Special (5731) 10%</t>
  </si>
  <si>
    <t>Bunyard, Ronald (5776) 15%</t>
  </si>
  <si>
    <t>Burton, Kristi (5672) min rep 15%</t>
  </si>
  <si>
    <t>Cain, Michael &amp; Kathy (5358) 15%</t>
  </si>
  <si>
    <t>Canada Office (5240) 5%</t>
  </si>
  <si>
    <t>Carlson, Kimberly (5157) 15%</t>
  </si>
  <si>
    <t>Champoux L. Special (5504) 10%</t>
  </si>
  <si>
    <t>Champoux, Larry &amp; Lucy (5503) 15%</t>
  </si>
  <si>
    <t>Chan, Samuel (5917) min rep 15%</t>
  </si>
  <si>
    <t>Chen Special (5683) min rep 15%</t>
  </si>
  <si>
    <t>Chen, Jennifer (5684) Min Rep 15%</t>
  </si>
  <si>
    <t>Colaco, Noel (5607) min rep 15%</t>
  </si>
  <si>
    <t>Compton Special (5193) 10%</t>
  </si>
  <si>
    <t>Compton, Laura (5192)  15%</t>
  </si>
  <si>
    <t>Congdon, Gene (5139) 15%</t>
  </si>
  <si>
    <t>Cossette, Richard &amp; Carol (5336) 15%</t>
  </si>
  <si>
    <t>Cotton Special (5441) 10%</t>
  </si>
  <si>
    <t>Cotton, Ray (5440) 15%</t>
  </si>
  <si>
    <t>Crowell Special (5905) 10%</t>
  </si>
  <si>
    <t>Crowell, Gil (5355) 15%</t>
  </si>
  <si>
    <t>Cutler Michael (5319) 15%</t>
  </si>
  <si>
    <t>Daeschner, Dick (5337) 15%</t>
  </si>
  <si>
    <t>Davis Special (5664) 10%</t>
  </si>
  <si>
    <t>Davis, Howard (5665) 15%</t>
  </si>
  <si>
    <t>Decker, J. Gordon (5508) 10%</t>
  </si>
  <si>
    <t>DePalatis, Carolyn (5787) 15%</t>
  </si>
  <si>
    <t>Desai House Fund (5692) 0%</t>
  </si>
  <si>
    <t>Desai Special (5376) 10%</t>
  </si>
  <si>
    <t>Desai, John &amp; Aruna (5686) 15%</t>
  </si>
  <si>
    <t>Dorning Special (5472) 10%</t>
  </si>
  <si>
    <t>Dorning, Dawn (5471) min rep 15%</t>
  </si>
  <si>
    <t>Douglass, Carol (5647) 15%</t>
  </si>
  <si>
    <t>Downs Special (5719) 10%</t>
  </si>
  <si>
    <t>Downs, Ian &amp; Erin (5718) 15%</t>
  </si>
  <si>
    <t>Dugo, John &amp; Janet (5147) min rep 15%</t>
  </si>
  <si>
    <t>Dunne, Stephen &amp; Lia (5161) min rep 15%</t>
  </si>
  <si>
    <t>East Bay Events (5855) 5%5% {harper}</t>
  </si>
  <si>
    <t>Egan, Debbie &amp; Bob (5596) 15%</t>
  </si>
  <si>
    <t>Ehman, Ginger (5239) 15%</t>
  </si>
  <si>
    <t>Eilers, Gary &amp; Alice (5949) min rep 15%</t>
  </si>
  <si>
    <t>Emery, Lesley &amp; Wayne (5404) 15%</t>
  </si>
  <si>
    <t>Evans, Wendy (5320) 15%</t>
  </si>
  <si>
    <t>Fannin, Kevin &amp; Heather (5175) 15%</t>
  </si>
  <si>
    <t>Fitzgerald China Trip (5689) min rep 10%</t>
  </si>
  <si>
    <t>Fitzgerald, Robert (5690) min rep 15%</t>
  </si>
  <si>
    <t>Flynn Special (5721) 10%</t>
  </si>
  <si>
    <t>Flynn, Patrick &amp; Christy Lynn (5720) 15%</t>
  </si>
  <si>
    <t>FT Collins (5854) 15% {babcock}</t>
  </si>
  <si>
    <t>Germann Special (5694) 10%</t>
  </si>
  <si>
    <t>Germann, Ed (5695) 10%</t>
  </si>
  <si>
    <t>Gilchrist, Della (5447) min rep 15%</t>
  </si>
  <si>
    <t>Goddard, Janice (5148) min rep 15%</t>
  </si>
  <si>
    <t>Godwin, Elizabeth (5383) 15%</t>
  </si>
  <si>
    <t>Goll, Joseph &amp; Sheryl (5505) 15%</t>
  </si>
  <si>
    <t>Gray Special (5215) 10%</t>
  </si>
  <si>
    <t>Gray, Mark (5214) 15%</t>
  </si>
  <si>
    <t>Grove, Andy (5562) 15%</t>
  </si>
  <si>
    <t>Hadley, Buell (5386) 15%</t>
  </si>
  <si>
    <t>Hakes, Hannah (5263) 15%</t>
  </si>
  <si>
    <t>Halverson, Dean (5198) 10%</t>
  </si>
  <si>
    <t>Hansen, Randy (5552) 15%</t>
  </si>
  <si>
    <t>Hardy Special (5430) 10%</t>
  </si>
  <si>
    <t>Hargreaves, Sheila (5593) 15%</t>
  </si>
  <si>
    <t>Harper Special (5913) 10%</t>
  </si>
  <si>
    <t>Harper, Leon (5912) 10%</t>
  </si>
  <si>
    <t>Hawes, Randy (5220) 15%</t>
  </si>
  <si>
    <t>Hawkins, Scott (5575) 15%</t>
  </si>
  <si>
    <t>Heder, Robert (5172) min rep 15%</t>
  </si>
  <si>
    <t>Helmen, Jerry (5407) min rep 15%</t>
  </si>
  <si>
    <t>Hinke Special (5565) 10%</t>
  </si>
  <si>
    <t>Hope, Steve &amp; Natasha (5350) 15%</t>
  </si>
  <si>
    <t>Hutton, Frank (5392) 15%</t>
  </si>
  <si>
    <t>Ingram, Ronald (5452) 15%</t>
  </si>
  <si>
    <t>ISI National Conference (5100) 0%</t>
  </si>
  <si>
    <t>Jackson Bob &amp; Sandra Special (5543) 10%</t>
  </si>
  <si>
    <t>Jackson, Derrah &amp; Pam (5783) 10%</t>
  </si>
  <si>
    <t>Jackson, Sandra &amp; Bob (5143) 15%</t>
  </si>
  <si>
    <t>Joseph, Sabu (5572) 15%</t>
  </si>
  <si>
    <t>Kaneshiro, Melanie (5142) MR 15%</t>
  </si>
  <si>
    <t>Kansas City (5866) 15% {douglass}</t>
  </si>
  <si>
    <t>Katekaru, J (5476) MR 15%</t>
  </si>
  <si>
    <t>Kendagor Special (5614) 10%</t>
  </si>
  <si>
    <t>Kendagor, Solomon &amp; Ruby (5613) 15%</t>
  </si>
  <si>
    <t>Kershaw, Pat (5195) 10%</t>
  </si>
  <si>
    <t>Killion Special (5426) 10%</t>
  </si>
  <si>
    <t>Killion, Howard (5326) 15%</t>
  </si>
  <si>
    <t>Kolstad, Jan &amp; David (5658) min rep 15%</t>
  </si>
  <si>
    <t>Kragbe, Lisa (5395) 15%</t>
  </si>
  <si>
    <t>Krehbiel Special (5786) 10%</t>
  </si>
  <si>
    <t>Krehbiel, Dave (5794) min rep 15%</t>
  </si>
  <si>
    <t>Kronstad, Daniel (5212) 15%</t>
  </si>
  <si>
    <t>LA County Events (5900) 5%5% {pearce}</t>
  </si>
  <si>
    <t>Lahti, Kristen (5262) 15%</t>
  </si>
  <si>
    <t>Lam, Abel Pui-Kiu &amp; Phyllis (5309) 15%</t>
  </si>
  <si>
    <t>Larson, David &amp; Beth (5537) 15%</t>
  </si>
  <si>
    <t>Lawecki, Phyllis (5449) 15%</t>
  </si>
  <si>
    <t>Leavister, Margaret (5492) 15%</t>
  </si>
  <si>
    <t>Lempenau, Michael (5153) min rep 15%</t>
  </si>
  <si>
    <t>Lim, Danny (5398) 15%</t>
  </si>
  <si>
    <t>Lin, Luisa &amp; David (5736) 15%</t>
  </si>
  <si>
    <t>Lindman, Carroll (5631) 15%</t>
  </si>
  <si>
    <t>Livingston Special (5261) 10%</t>
  </si>
  <si>
    <t>Livingston, John (5260) 15%</t>
  </si>
  <si>
    <t>Lockwood, Daniel &amp; Toshiko (5411) 15%</t>
  </si>
  <si>
    <t>Loh, Joel (5442) 15%</t>
  </si>
  <si>
    <t>Low, Dennis (5502) 15%</t>
  </si>
  <si>
    <t>Manasco Emily (5321) 15%</t>
  </si>
  <si>
    <t>Maneevone, Wichit (5701) 15%</t>
  </si>
  <si>
    <t>Mannon, David (5353) 15%</t>
  </si>
  <si>
    <t>Manta, Don &amp; Ruth (5453) 15%</t>
  </si>
  <si>
    <t>Marshall, Kent &amp; Judy (5774) 15%</t>
  </si>
  <si>
    <t>Max, Vivienne (5621) 8.5%</t>
  </si>
  <si>
    <t>McCoy Special (5699) 10%</t>
  </si>
  <si>
    <t>McKain Special (5414) 10%</t>
  </si>
  <si>
    <t>McKain, Rebecca (5314) 15%</t>
  </si>
  <si>
    <t>Means, Melba (5624) 8.5%</t>
  </si>
  <si>
    <t>Miller, Ron &amp; Gayle (5465) 15%</t>
  </si>
  <si>
    <t>Mills Special (5752) 10%</t>
  </si>
  <si>
    <t>Mills, Ron (5751) 15%</t>
  </si>
  <si>
    <t>Mitchell, Jill (5219) min rep 15%</t>
  </si>
  <si>
    <t>Mull, Andy &amp; Diane (5480) 15%</t>
  </si>
  <si>
    <t>Murchison, Marc (5436) min rep 15%</t>
  </si>
  <si>
    <t>Muslim Task (5853) 0% {halverson}</t>
  </si>
  <si>
    <t>Ndibongo, Quintin (5549) min rep 15%</t>
  </si>
  <si>
    <t>Nelson, Jeff (5311) 15%</t>
  </si>
  <si>
    <t>Newpher, Jeffrey (5428) 15%</t>
  </si>
  <si>
    <t>Ng, Boon-Kjhai (5183) 15%</t>
  </si>
  <si>
    <t>Northern Cal Student Activity (5018) 15% {Pollard}</t>
  </si>
  <si>
    <t>Notehelfer, Tim &amp; Kim (5417) 15%</t>
  </si>
  <si>
    <t>Olcott, Pat (5188) min rep 15%</t>
  </si>
  <si>
    <t>Paxton Special (5347) 10%</t>
  </si>
  <si>
    <t>Paxton, Marion (5651) 15%</t>
  </si>
  <si>
    <t>Pearce Special (5137) 10%</t>
  </si>
  <si>
    <t>Pearce, Andy (5136) 15%</t>
  </si>
  <si>
    <t>Peterson Special (5520) 10%</t>
  </si>
  <si>
    <t>Peterson, Nancy (5519) 15%</t>
  </si>
  <si>
    <t>Pierce Special (5579) 10%</t>
  </si>
  <si>
    <t>Pollard Special (5467) 10%</t>
  </si>
  <si>
    <t>Portland Events (5824) 5%5% {sinclair}</t>
  </si>
  <si>
    <t>Portland, OR- (5826) 15% {sinclair}</t>
  </si>
  <si>
    <t>Princeton, NJ (5827) 15% {desai}</t>
  </si>
  <si>
    <t>Quek, Kelly (5370) 15%</t>
  </si>
  <si>
    <t>Quinn, Kevin &amp; Lynne (5554) min rep 15%</t>
  </si>
  <si>
    <t>RapidCity Student Conf (5859) 0% {fannin}</t>
  </si>
  <si>
    <t>Rigstad Special (5494) 10%</t>
  </si>
  <si>
    <t>Rigstad, Dennis (5493) 15%</t>
  </si>
  <si>
    <t>Ritchie, Winnie (5340) 8.5%</t>
  </si>
  <si>
    <t>Roberts, Bill &amp; Bel (5154) 15%</t>
  </si>
  <si>
    <t>Rocklin, CA (5845) FS 15% {zeigler}</t>
  </si>
  <si>
    <t>San Diego Events (5910) 5%5% {maneevone}</t>
  </si>
  <si>
    <t>San Diego Scholarship (5881) 0% {maneevone}</t>
  </si>
  <si>
    <t>San Francisco City (5011) 15% {Thomas C}</t>
  </si>
  <si>
    <t>Santa Barbara (5848) 15% {notehelfer}</t>
  </si>
  <si>
    <t>Sawyer, Doug (5497) 15%</t>
  </si>
  <si>
    <t>Schaeffer, Ava (5330) 15%</t>
  </si>
  <si>
    <t>Scott, Jeremy (5380) 15%</t>
  </si>
  <si>
    <t>Shih, Ping-yi (5662) 15%</t>
  </si>
  <si>
    <t>Sigman Special (5541) 10%</t>
  </si>
  <si>
    <t>Sigman, Tim &amp; Julie  (5540) 15%</t>
  </si>
  <si>
    <t>Sinclair, Kerry &amp; Josie (5483) 15%</t>
  </si>
  <si>
    <t>Smith, Dan (5609) 15%</t>
  </si>
  <si>
    <t>Spaulding, Ron &amp; Judy (5170) 15%</t>
  </si>
  <si>
    <t>Stewart, Jerilyn (5227) min rep15%</t>
  </si>
  <si>
    <t>Thiagarajan Special (5657) 10%</t>
  </si>
  <si>
    <t>Trautman, Connie (5224) min rep 15%</t>
  </si>
  <si>
    <t>Truex Special (5357) 10%</t>
  </si>
  <si>
    <t>van Ouwerkerk Special (5237) 10%</t>
  </si>
  <si>
    <t>Webster Special Fund (5789) 10%</t>
  </si>
  <si>
    <t>Western Massachusetts Area (5014) 15% {S. Hope}</t>
  </si>
  <si>
    <t>Western Region Scholarship (5870) 0% {zeigler}</t>
  </si>
  <si>
    <t>Weston Special (5363) 10</t>
  </si>
  <si>
    <t>Weston, Tim (5362) 15%</t>
  </si>
  <si>
    <t>Whitman Special (5369) 10%</t>
  </si>
  <si>
    <t>Witjandra Special (5470) 10%</t>
  </si>
  <si>
    <t>Yabuki Special (5734) 10%</t>
  </si>
  <si>
    <t>Yabuki, Roy &amp; Lisa (5735) 15%</t>
  </si>
  <si>
    <t>Yamazawa, Naomi (5709) 15%</t>
  </si>
  <si>
    <t>Zeigler Special (5456) 10%</t>
  </si>
  <si>
    <t>Zeigler, Simon &amp; Becky (5793) 10%</t>
  </si>
  <si>
    <t>Zull, Peter (5481) 15%</t>
  </si>
  <si>
    <t>Zull, Special  (5906) 10%</t>
  </si>
  <si>
    <t>=SEARCH(")",D2,1)</t>
  </si>
  <si>
    <t>Dickinson, Bethany Special (5318) 10%</t>
  </si>
  <si>
    <t>Dickinson, Bethany (5328) 15%</t>
  </si>
  <si>
    <t>Bricker, Alex (5514) 15%</t>
  </si>
  <si>
    <t>Gold, Timothy (5512) 15%</t>
  </si>
  <si>
    <t>exception</t>
  </si>
  <si>
    <t>Esception</t>
  </si>
  <si>
    <t>Exception</t>
  </si>
  <si>
    <t>Initials</t>
  </si>
  <si>
    <t>exceptin</t>
  </si>
  <si>
    <t>exceptioins</t>
  </si>
  <si>
    <t>Woods, Scott (5197) Min Rep 15%</t>
  </si>
  <si>
    <t>Casper, Jason (5230) 15%</t>
  </si>
  <si>
    <t>Shelly, David (5375) 15%</t>
  </si>
  <si>
    <t>Vendor ID</t>
  </si>
  <si>
    <t>ALEX TOVAR</t>
  </si>
  <si>
    <t>ALICE EILERS</t>
  </si>
  <si>
    <t>ANDRE ONG</t>
  </si>
  <si>
    <t>ADRIAN</t>
  </si>
  <si>
    <t>ANNE ADRIAN</t>
  </si>
  <si>
    <t>AUBREY TRUEX</t>
  </si>
  <si>
    <t>AVA SCHAEFFER</t>
  </si>
  <si>
    <t>BETHANY DICKINSON</t>
  </si>
  <si>
    <t>HADLEY</t>
  </si>
  <si>
    <t>CAROL DOUGLASS</t>
  </si>
  <si>
    <t>CHERYL DRAPER</t>
  </si>
  <si>
    <t>CHRISTINE HOLLAND</t>
  </si>
  <si>
    <t>CHRISTOFER, HANNAH</t>
  </si>
  <si>
    <t>CRAIG MOSHER</t>
  </si>
  <si>
    <t>DEPALATIS</t>
  </si>
  <si>
    <t>HALLIGAN</t>
  </si>
  <si>
    <t>BRANNEN</t>
  </si>
  <si>
    <t>SMITH</t>
  </si>
  <si>
    <t>DAN YOUNKIN</t>
  </si>
  <si>
    <t>DANIEL KRONSTAD</t>
  </si>
  <si>
    <t>DANNY LIM</t>
  </si>
  <si>
    <t>GOTTLOB DAVE</t>
  </si>
  <si>
    <t>DAVE GOTTLOB</t>
  </si>
  <si>
    <t>KANESHIRO</t>
  </si>
  <si>
    <t>KREHBIEL</t>
  </si>
  <si>
    <t>DAVID KREHBIEL</t>
  </si>
  <si>
    <t>DAVID MANNON</t>
  </si>
  <si>
    <t>DAVID SHELLEY</t>
  </si>
  <si>
    <t>SODERGREN</t>
  </si>
  <si>
    <t>DAVID STORMS</t>
  </si>
  <si>
    <t>DORNING</t>
  </si>
  <si>
    <t>DAWN DORNING</t>
  </si>
  <si>
    <t>HALVERSON</t>
  </si>
  <si>
    <t>DEAN HALVERSON</t>
  </si>
  <si>
    <t>EGAN</t>
  </si>
  <si>
    <t>DEBORAH EGAN</t>
  </si>
  <si>
    <t>DON APGAR</t>
  </si>
  <si>
    <t>SAWYER DOUG</t>
  </si>
  <si>
    <t>DOUG SAWYER</t>
  </si>
  <si>
    <t>GODWIN ELIZABET</t>
  </si>
  <si>
    <t>CHIJINDU EMM</t>
  </si>
  <si>
    <t>EMMANUEL CHIJINDU</t>
  </si>
  <si>
    <t>FREDINAN WITJANDRA</t>
  </si>
  <si>
    <t>CONGDON</t>
  </si>
  <si>
    <t>GILBERT CROWELL</t>
  </si>
  <si>
    <t>GINGER EHMANN</t>
  </si>
  <si>
    <t>DEMMIE</t>
  </si>
  <si>
    <t>HANNAH HAKES</t>
  </si>
  <si>
    <t>HARGREAVES</t>
  </si>
  <si>
    <t>HERB BAKER</t>
  </si>
  <si>
    <t>DOWNS IAN</t>
  </si>
  <si>
    <t>IAN DOWNS</t>
  </si>
  <si>
    <t>DECKER</t>
  </si>
  <si>
    <t>STARK JAMES</t>
  </si>
  <si>
    <t>JAMES STARK</t>
  </si>
  <si>
    <t>KOLSTAD JAN</t>
  </si>
  <si>
    <t>GODDARD, J</t>
  </si>
  <si>
    <t>JANICE GODDARD</t>
  </si>
  <si>
    <t>JEFF NELSON</t>
  </si>
  <si>
    <t>JEFFREY ANTHONY</t>
  </si>
  <si>
    <t>JEFFREY NEWPHER</t>
  </si>
  <si>
    <t>CHEN JENNIFER</t>
  </si>
  <si>
    <t>JENNIFER CHEN</t>
  </si>
  <si>
    <t>LIGHTHALL JENNI</t>
  </si>
  <si>
    <t>JENNIFER LIGHTHALL</t>
  </si>
  <si>
    <t>JENNIFER MEULI</t>
  </si>
  <si>
    <t>JERILYN STEWART</t>
  </si>
  <si>
    <t>JERRY HELMEN</t>
  </si>
  <si>
    <t>SPADY</t>
  </si>
  <si>
    <t>JOEL LOH</t>
  </si>
  <si>
    <t>DUGO</t>
  </si>
  <si>
    <t>BERGER JOHN</t>
  </si>
  <si>
    <t>DESAI</t>
  </si>
  <si>
    <t>JOHN DESAI</t>
  </si>
  <si>
    <t>LIVINGSTON</t>
  </si>
  <si>
    <t>STEERS</t>
  </si>
  <si>
    <t>JONATHAN ALUMBAUGH</t>
  </si>
  <si>
    <t>JUDY BECKER</t>
  </si>
  <si>
    <t>JULIE ARANT</t>
  </si>
  <si>
    <t>JULIE FRIESEN</t>
  </si>
  <si>
    <t>KAROL MARQUEZ</t>
  </si>
  <si>
    <t>SHAW KASSANIA</t>
  </si>
  <si>
    <t>KATHRYN ALTIZER</t>
  </si>
  <si>
    <t>SINCLAIR KERRY</t>
  </si>
  <si>
    <t>FANNIN</t>
  </si>
  <si>
    <t>KRAGBE, LISA</t>
  </si>
  <si>
    <t>KRISTEN LAHTI</t>
  </si>
  <si>
    <t>BURTON KRISTI</t>
  </si>
  <si>
    <t>KRISTI BURTON</t>
  </si>
  <si>
    <t>COMPTON</t>
  </si>
  <si>
    <t>HARPER</t>
  </si>
  <si>
    <t>LEON HARPER</t>
  </si>
  <si>
    <t>MURCHISON MARC</t>
  </si>
  <si>
    <t>LEAVISTER MARGA</t>
  </si>
  <si>
    <t>MARGARET LEAVISTER</t>
  </si>
  <si>
    <t>MARION PAXTON</t>
  </si>
  <si>
    <t>MATTHEW SMUCKER</t>
  </si>
  <si>
    <t>MICHAEL CUTLER</t>
  </si>
  <si>
    <t>MICHAEL HERSHBERGER</t>
  </si>
  <si>
    <t>CHARLIER</t>
  </si>
  <si>
    <t>MOLLY CHAN</t>
  </si>
  <si>
    <t>NG, BOON-KHAI</t>
  </si>
  <si>
    <t>COLACO NOEL</t>
  </si>
  <si>
    <t>NOEL COLACO</t>
  </si>
  <si>
    <t>NORMAN ALLEN</t>
  </si>
  <si>
    <t>KERSHAW</t>
  </si>
  <si>
    <t>PATRICIA KERSHAW</t>
  </si>
  <si>
    <t>PETER ZULL</t>
  </si>
  <si>
    <t>PETTY CASH</t>
  </si>
  <si>
    <t>SHIH PING-YI</t>
  </si>
  <si>
    <t>PING-YI SHIH</t>
  </si>
  <si>
    <t>RANDALL BABCOCK</t>
  </si>
  <si>
    <t>RASHEED AKHTAR</t>
  </si>
  <si>
    <t>REBECCA MCKAIN</t>
  </si>
  <si>
    <t>REBEKAH MILLER</t>
  </si>
  <si>
    <t>COSSETTE</t>
  </si>
  <si>
    <t>RICHARD COSSETTE</t>
  </si>
  <si>
    <t>SPAULDING</t>
  </si>
  <si>
    <t>BUNYARD RONALD</t>
  </si>
  <si>
    <t>RON BUNYARD</t>
  </si>
  <si>
    <t>RONALD INGRAM</t>
  </si>
  <si>
    <t>BOYD ROY</t>
  </si>
  <si>
    <t>ROY BOYD</t>
  </si>
  <si>
    <t>JOSEPH SABU</t>
  </si>
  <si>
    <t>HAWKINS</t>
  </si>
  <si>
    <t>SCOTT HAWKINS</t>
  </si>
  <si>
    <t>SCOTT WOODS</t>
  </si>
  <si>
    <t>SHANNON CRAMER</t>
  </si>
  <si>
    <t>SHELDON JANTZ</t>
  </si>
  <si>
    <t>KENDAGOR</t>
  </si>
  <si>
    <t>SOLOMON KENDAGOR</t>
  </si>
  <si>
    <t>STEPHEN BRAINTWAIN</t>
  </si>
  <si>
    <t>STEPHEN DUNNE</t>
  </si>
  <si>
    <t>STEPHEN HOPE</t>
  </si>
  <si>
    <t>STEPHEN LEUNG</t>
  </si>
  <si>
    <t>STEPHEN RUNYON</t>
  </si>
  <si>
    <t>SUE APGAR</t>
  </si>
  <si>
    <t>TAMMY OLEAN</t>
  </si>
  <si>
    <t>TED SAUR</t>
  </si>
  <si>
    <t>TIM WESTON</t>
  </si>
  <si>
    <t>SIGMAN</t>
  </si>
  <si>
    <t>TIMOTHY GOLD</t>
  </si>
  <si>
    <t>VALERIE ALTHOUSE</t>
  </si>
  <si>
    <t>VICKY FOTI</t>
  </si>
  <si>
    <t>EMERY</t>
  </si>
  <si>
    <r>
      <t xml:space="preserve">Name </t>
    </r>
    <r>
      <rPr>
        <sz val="9"/>
        <rFont val="Arial"/>
        <family val="2"/>
      </rPr>
      <t>(first and last)</t>
    </r>
  </si>
  <si>
    <t xml:space="preserve">  </t>
  </si>
  <si>
    <t>for audit work</t>
  </si>
  <si>
    <t>limit on reimb level</t>
  </si>
  <si>
    <t>ISnt'l Singapore (2510) 0%</t>
  </si>
  <si>
    <t>ISI Ltd Hong Kong (2520) 0%</t>
  </si>
  <si>
    <t>Jang, Norm (5196) 15% Min Rep</t>
  </si>
  <si>
    <t>Williams, David (5338) 15% Min Rep</t>
  </si>
  <si>
    <t>Williams, D Special (5341) 10% Min Rep</t>
  </si>
  <si>
    <t>Newbrander, Tim  &amp; Jacqueline (5427) 15%</t>
  </si>
  <si>
    <t>Dickson, Larry &amp; Pam (5435) min rep 15%</t>
  </si>
  <si>
    <t>Mosher, Craig (5482) 15%</t>
  </si>
  <si>
    <t>Welch, Audrey (5485) 15%</t>
  </si>
  <si>
    <t>Sample, Peter (5521) 15%</t>
  </si>
  <si>
    <t>Halligan, Dale &amp; Liz (5594) 15%</t>
  </si>
  <si>
    <t>Monterey (5823) 15% {zeigler}</t>
  </si>
  <si>
    <t>Account Number</t>
  </si>
  <si>
    <t>TERI CROWELL</t>
  </si>
  <si>
    <t>NORMAN JANG</t>
  </si>
  <si>
    <t xml:space="preserve">For meals provided in your home. </t>
  </si>
  <si>
    <t>No grocery receipts are required.</t>
  </si>
  <si>
    <t>Professional Growth Grand Total</t>
  </si>
  <si>
    <t>Dept/Proj Code</t>
  </si>
  <si>
    <t>Ghimire, Ashok (5232) 15% min rep</t>
  </si>
  <si>
    <t>York-Herjeczk, Anne (5429) 15%</t>
  </si>
  <si>
    <t>Lapinski, Angela (5567) 15%</t>
  </si>
  <si>
    <t>Mualim, Hendry (5568) 15%</t>
  </si>
  <si>
    <t>Fund Code</t>
  </si>
  <si>
    <t>none</t>
  </si>
  <si>
    <t>00000</t>
  </si>
  <si>
    <t>Special Notes:</t>
  </si>
  <si>
    <t>Account Code</t>
  </si>
  <si>
    <t>Account Title</t>
  </si>
  <si>
    <t>Schaeffer Special (5531) 10%</t>
  </si>
  <si>
    <t>Burton, Paul (5566) 15%</t>
  </si>
  <si>
    <t>Innis, Shirley (5574) 15%</t>
  </si>
  <si>
    <t>Mohamed, Jaber (5578) 15%</t>
  </si>
  <si>
    <t>Address</t>
  </si>
  <si>
    <t>Check Address Code</t>
  </si>
  <si>
    <t>Main</t>
  </si>
  <si>
    <t>CAROLYN ANDREWS</t>
  </si>
  <si>
    <t>BOITZ (CURTIS)</t>
  </si>
  <si>
    <t>Check</t>
  </si>
  <si>
    <t>PAUL BURTON</t>
  </si>
  <si>
    <t>ANGELA LAPINSKI</t>
  </si>
  <si>
    <t>CARLA WHITE</t>
  </si>
  <si>
    <t>Monthly Meals Sheet-students</t>
  </si>
  <si>
    <t>David, Samuel (5539) 15%</t>
  </si>
  <si>
    <t>Gunderson, Paul (5557) 15%</t>
  </si>
  <si>
    <t>fiscal year start date</t>
  </si>
  <si>
    <t xml:space="preserve">***Send to </t>
  </si>
  <si>
    <t xml:space="preserve">reimbursements@isionline.org </t>
  </si>
  <si>
    <t>Song, Si-Chun (5388) 15% min</t>
  </si>
  <si>
    <t>ANDREA FORD</t>
  </si>
  <si>
    <t>BERGMAN, J &amp; M</t>
  </si>
  <si>
    <t>Raybon, D. (5921) 15%</t>
  </si>
  <si>
    <t>Ministry Department (2101) 0% {Decker}</t>
  </si>
  <si>
    <t>National Training Department (2102) 0% {Decker}</t>
  </si>
  <si>
    <t>Western Region  (2301) 0% {Zeigler}</t>
  </si>
  <si>
    <t>SE / Great Lakes Region (2302) 0% {Germann}</t>
  </si>
  <si>
    <t>RM &amp; Plains Region (2303) 0% {Jackson}</t>
  </si>
  <si>
    <t>Northeastern Region (2306) 10% {Larson}</t>
  </si>
  <si>
    <t>Interest/Div Income (3290) 0%</t>
  </si>
  <si>
    <t>Monmouth OR City (5003) 15% {Zeigler}</t>
  </si>
  <si>
    <t>NE Regional Mobilization  (5004) 15% {Cossette}</t>
  </si>
  <si>
    <t>Evangeline Tharp Mem. Fnd (5005) 10% {Depalatis}</t>
  </si>
  <si>
    <t>Tyler Tx (5022) 15% {Manasco}</t>
  </si>
  <si>
    <t>Sout Bay Pennisula CA  (5023) 15% {Depalatis}</t>
  </si>
  <si>
    <t>Mesa Community College (5024) 15% {Mills}</t>
  </si>
  <si>
    <t>Eugene Events (5025) 5%-5% {Smucker}</t>
  </si>
  <si>
    <t>Durham City Student Activity (5026) 15% {Kronstad}</t>
  </si>
  <si>
    <t>ID/MT Area Mobilization (5027) 15% {Spady}</t>
  </si>
  <si>
    <t>Greely CO (5028) 15% {Shelley}</t>
  </si>
  <si>
    <t>Cossette Special (5036) 10%</t>
  </si>
  <si>
    <t>Ponten, Mary Jane (5111)8.5%</t>
  </si>
  <si>
    <t>Huff, Dana [Russell] (5199) 15%</t>
  </si>
  <si>
    <t>Thomas, Erv (5221) 15%</t>
  </si>
  <si>
    <t>Seattle Student Spon (5377) 0% {Frambes}</t>
  </si>
  <si>
    <t>Sandeep, Thomas (5443) 15%</t>
  </si>
  <si>
    <t>Pollard, Peggy (5466) 15%</t>
  </si>
  <si>
    <t>Clements, Darius (5488) 15%</t>
  </si>
  <si>
    <t>Babcock, Randy &amp; Jan (5489) 15%</t>
  </si>
  <si>
    <t>Carter, Katy (5498) 15% min</t>
  </si>
  <si>
    <t>Champoux, Ginny  (5501) 15%</t>
  </si>
  <si>
    <t>Champoux  G. Special (5513) 10%</t>
  </si>
  <si>
    <t>Frambes, Kirk &amp; Linda (5527) 15%</t>
  </si>
  <si>
    <t>Elisha, Stephen (5533) 15%</t>
  </si>
  <si>
    <t>Hohulin, Amy (5536) 15%</t>
  </si>
  <si>
    <t>Green, Courtney (5542) 15%</t>
  </si>
  <si>
    <t>Ford, Andrea (5544) 15%</t>
  </si>
  <si>
    <t>Bull, Patricia (5548) 15%</t>
  </si>
  <si>
    <t>Bergman, Jeff &amp; Michiko (5550) 15% min rep</t>
  </si>
  <si>
    <t>Cermak, Tony &amp; Dayna (5551) 15%</t>
  </si>
  <si>
    <t>Carroll, Sam &amp; Joanne (5560)015%</t>
  </si>
  <si>
    <t>Flammini, Steven &amp; Sandra (5563) 15% min rep</t>
  </si>
  <si>
    <t>Chau, Kenny (5576) 15%</t>
  </si>
  <si>
    <t>Fatty, Sainey (5580) 15%</t>
  </si>
  <si>
    <t>Elisha Special (5733) 10%</t>
  </si>
  <si>
    <t>South Florida Ops (5760) 15% {Germann}</t>
  </si>
  <si>
    <t>South Florida Events (5761) 5%5% {Germann}</t>
  </si>
  <si>
    <t>Kansas City Area Scholarships (5770) 0% {Douglas}</t>
  </si>
  <si>
    <t>Webster, Erna (5795) 15%</t>
  </si>
  <si>
    <t>Univ of CA Irvine (5822) 15% {Pearce}</t>
  </si>
  <si>
    <t>Seattle City (5831) 15% {Frambe}</t>
  </si>
  <si>
    <t>Seattle Events (5832) 5%5% {Frambe}</t>
  </si>
  <si>
    <t>Lee, Eva (5956) 15%</t>
  </si>
  <si>
    <t>LARSON, RUTH</t>
  </si>
  <si>
    <t>JOY ALYNN BOITZ</t>
  </si>
  <si>
    <t>PATRICIA BULL</t>
  </si>
  <si>
    <t>LESLIE BURNS</t>
  </si>
  <si>
    <t>ANGELA CADDELL</t>
  </si>
  <si>
    <t>KATY CARTER</t>
  </si>
  <si>
    <t>GINNY CHAMPOUX</t>
  </si>
  <si>
    <t>KENNY CHAU</t>
  </si>
  <si>
    <t>DARIUS CLEMENTS</t>
  </si>
  <si>
    <t>SAM DAVID</t>
  </si>
  <si>
    <t>STEVE ELISHA</t>
  </si>
  <si>
    <t>SAINEY FATTY</t>
  </si>
  <si>
    <t>PAUL GUNDERSON</t>
  </si>
  <si>
    <t>SHIRLEY INNIS</t>
  </si>
  <si>
    <t>IN CHEOL KIM</t>
  </si>
  <si>
    <t>DAN AND TOSHIKO LOCKWOOD</t>
  </si>
  <si>
    <t>DEBBIE RAYBON</t>
  </si>
  <si>
    <t>SI-CHUN SONG</t>
  </si>
  <si>
    <t>TERRY STEGEHUIS</t>
  </si>
  <si>
    <t>ERNA WEBSTER</t>
  </si>
  <si>
    <t>NHC</t>
  </si>
  <si>
    <t>JB</t>
  </si>
  <si>
    <t>GP</t>
  </si>
  <si>
    <t>Bevans, Rod &amp; Joyce (5597) 15% min rep</t>
  </si>
  <si>
    <t>This form was updated on :</t>
  </si>
  <si>
    <t>Reviewed by Finance:</t>
  </si>
  <si>
    <t>HUSTON RICHARD</t>
  </si>
  <si>
    <t>Roelants, Renee (5606) 15% min rep</t>
  </si>
  <si>
    <t>Hopkins, Virginia (5608) 15%</t>
  </si>
  <si>
    <t>Black, Helen (5619) 15%</t>
  </si>
  <si>
    <t>Townsend, Jeffrey (5612) 15%</t>
  </si>
  <si>
    <t>Halverson Special (5098) 10%</t>
  </si>
  <si>
    <t>Steers, John &amp; Joyce (5345) 15%</t>
  </si>
  <si>
    <t>Price, George &amp; Linda (5553) 15% min</t>
  </si>
  <si>
    <t>Billings, Judy (5584) 15%</t>
  </si>
  <si>
    <t>Combs, Hunter (5587) 15%</t>
  </si>
  <si>
    <t>Ciganic, Adrian (5591) 15% min rep</t>
  </si>
  <si>
    <t>Huston, Richard (5600) 15% Min</t>
  </si>
  <si>
    <t>Lawton, Robert (5602) 15% Min</t>
  </si>
  <si>
    <t>Boyd, Lisa (5616) min rep 15%</t>
  </si>
  <si>
    <t>Yesudasan, Teddy (5617) 15%</t>
  </si>
  <si>
    <t>Pierce, Holly and Travis (5622) 15%</t>
  </si>
  <si>
    <t>Chicago, IL (5808) 15% {ingram}</t>
  </si>
  <si>
    <t>Chicago Events (5838) 5%5% {ingram}</t>
  </si>
  <si>
    <t>Phoenix Fundraising Evnt (5850) 5%5% {crowell}</t>
  </si>
  <si>
    <t>Maine &amp; New Hamp (5894) 15% {webster}</t>
  </si>
  <si>
    <t>Miller Special Fund (5037) 10%</t>
  </si>
  <si>
    <t>and type of item</t>
  </si>
  <si>
    <t>and Type of Item</t>
  </si>
  <si>
    <t>Huang, Echo (5627) 15%</t>
  </si>
  <si>
    <t>Seever, Eric (5610) 15%</t>
  </si>
  <si>
    <t xml:space="preserve">Carlson, Joel (5302) </t>
  </si>
  <si>
    <t>Frost, Jim (5307) 15%</t>
  </si>
  <si>
    <t>Hodges, Isabel (5346) 15%</t>
  </si>
  <si>
    <t>Nordtvedt, Joel &amp; Marybeth (5393) 15%</t>
  </si>
  <si>
    <t>Easton, Valerie (5396) 15%</t>
  </si>
  <si>
    <t>EASTON, VALERIE</t>
  </si>
  <si>
    <t>Auvil, Ron () %</t>
  </si>
  <si>
    <t>Mannon Special (5653) %</t>
  </si>
  <si>
    <t>Purcell, Graham (5588) 15%</t>
  </si>
  <si>
    <t>Cote, Jennifer (5628) 15%</t>
  </si>
  <si>
    <t>Cote Jennifer</t>
  </si>
  <si>
    <t>Farmer, Aaron &amp; Lydia (5634) 15%</t>
  </si>
  <si>
    <t>Vest, Mary Ann (5640) 15%</t>
  </si>
  <si>
    <t>VEST MARY ANN</t>
  </si>
  <si>
    <t>Farley, Jennifer (5632) 15%</t>
  </si>
  <si>
    <t>Weidler, John (5399) 15%</t>
  </si>
  <si>
    <t>Matheny, Scott &amp; Kathy (5636) 15%</t>
  </si>
  <si>
    <t>Coleman, Fred &amp; Pixie (5641) 15%</t>
  </si>
  <si>
    <t>Mills, Jessica (5638) 15%</t>
  </si>
  <si>
    <t>Bogen, Mark (5625) 15%</t>
  </si>
  <si>
    <t>Ng, Joanna (5439) 15%</t>
  </si>
  <si>
    <t>Makin, Steve &amp; Cathy (5643) 15%</t>
  </si>
  <si>
    <t>Lassiter, Jordan &amp; Rebekah (5649) 15%</t>
  </si>
  <si>
    <t>Shelly Special (5045) 10%</t>
  </si>
  <si>
    <t>LA/SoCal Ops (5901) 15% {pearce}</t>
  </si>
  <si>
    <t>ks</t>
  </si>
  <si>
    <t>Tippery, Gabriel (5652) 15%</t>
  </si>
  <si>
    <t>NMF</t>
  </si>
  <si>
    <t>CITY</t>
  </si>
  <si>
    <t>SPEC</t>
  </si>
  <si>
    <t>REG</t>
  </si>
  <si>
    <t>F</t>
  </si>
  <si>
    <t>Regular Monthly Reimbursements</t>
  </si>
  <si>
    <t>City &amp; Special Reimbursements</t>
  </si>
  <si>
    <t>text deadline</t>
  </si>
  <si>
    <t>RON AUVIL</t>
  </si>
  <si>
    <t>JUDY BILLINGS</t>
  </si>
  <si>
    <t>HELEN BLACK</t>
  </si>
  <si>
    <t>JOEL CARLSON</t>
  </si>
  <si>
    <t>SAMUEL CHAN</t>
  </si>
  <si>
    <t>MICKIE CHARLIER</t>
  </si>
  <si>
    <t>ADRIAN CIGANIC</t>
  </si>
  <si>
    <t>LAURA COMPTON</t>
  </si>
  <si>
    <t>JENNIFER COTE</t>
  </si>
  <si>
    <t>WENDY EVANS</t>
  </si>
  <si>
    <t>PATRICK FLYNN</t>
  </si>
  <si>
    <t>JIM FROST</t>
  </si>
  <si>
    <t>RANDY HANSEN</t>
  </si>
  <si>
    <t>RANDY HAWES</t>
  </si>
  <si>
    <t>RICHARD HUSTON</t>
  </si>
  <si>
    <t>SABU JOSEPH</t>
  </si>
  <si>
    <t>LISA KINDERMANN</t>
  </si>
  <si>
    <t>PHYLLIS LAWECKI</t>
  </si>
  <si>
    <t>JOHN LIVINGSTON</t>
  </si>
  <si>
    <t>DON MANTA</t>
  </si>
  <si>
    <t>ANDY MULL</t>
  </si>
  <si>
    <t>JOANNA NG</t>
  </si>
  <si>
    <t>NANCY PETERSON</t>
  </si>
  <si>
    <t>PEGGY POLLARD</t>
  </si>
  <si>
    <t>KELLY QUEK</t>
  </si>
  <si>
    <t>RENEE ROELANTS</t>
  </si>
  <si>
    <t>DAVID SODERGREN</t>
  </si>
  <si>
    <t>JIM SPADY</t>
  </si>
  <si>
    <t>JOHN WEIDLER</t>
  </si>
  <si>
    <t>TEDDY YESUDASAN</t>
  </si>
  <si>
    <t>Ubaldo, Daniel &amp; Pam (5438) 15%</t>
  </si>
  <si>
    <t>Haislip, Kevin (5656) 15%</t>
  </si>
  <si>
    <t>Yu, Terry (5661) 15%</t>
  </si>
  <si>
    <t>ICF=Intl Christian Fellowship</t>
  </si>
  <si>
    <t>Northeastern Region (3115) 10% {Larson}</t>
  </si>
  <si>
    <t>Bell, Andrew (5666) 15%</t>
  </si>
  <si>
    <t>Lackey, Heather (5671) 15%</t>
  </si>
  <si>
    <t>Andrew Bell</t>
  </si>
  <si>
    <t>Lockhart, Kyle (5675) 15%</t>
  </si>
  <si>
    <t>Satoh [Ogata], Miwa (5152) min rep 15%</t>
  </si>
  <si>
    <t>Thomas, William [Calen] (5162) 15%</t>
  </si>
  <si>
    <t>Kim, In Cheol [Aquila] (5181) 15%</t>
  </si>
  <si>
    <t>Affil/Assoc (5245) 25% {Exec}</t>
  </si>
  <si>
    <t>Level A Strategic Ministry Initiatives (5244) {Exec}0%</t>
  </si>
  <si>
    <t>Allocated Distribution Fund (5255) 15% {Exec}</t>
  </si>
  <si>
    <t>Evangelistic Outreach Events (5256) 25%{Exec}</t>
  </si>
  <si>
    <t>CMI Phase 6 (5258) 25%{Exec}</t>
  </si>
  <si>
    <t>Expanding Church Mobilization (5259) 15%{Exec}</t>
  </si>
  <si>
    <t>Jesus Video Project (5265) 25%{Exec}</t>
  </si>
  <si>
    <t>Development and Mobilization (5249) 25%{Exec}</t>
  </si>
  <si>
    <t>Campus Outreach Program (5243) 25%{Exec}</t>
  </si>
  <si>
    <t>Web Marketing Project (Pardot) 25%{Exec}</t>
  </si>
  <si>
    <t>Dev Director Ops Exp (5270) 0%{Exec}</t>
  </si>
  <si>
    <t>CFM Film Distribution/Parnership (5273) 25%{Exec}</t>
  </si>
  <si>
    <t>Training Initiatives (5275) 25%{Exec}</t>
  </si>
  <si>
    <t>M28 Initiatives (5276) 25%{Exec}</t>
  </si>
  <si>
    <t>Hindu Student Outreach Initiative (5275) 25%{Exec}</t>
  </si>
  <si>
    <t>Mission America Rec (5280) 0%{Exec}</t>
  </si>
  <si>
    <t>TRUE Leadership Retreats (5282) 25%{Exec}</t>
  </si>
  <si>
    <t>Outreach and Technology{Exec}</t>
  </si>
  <si>
    <t>CSF Muslim &amp; Chinese Consultation (5290) 25%{Exec}</t>
  </si>
  <si>
    <t>China Initiative - CT (5293) 25%{Exec}</t>
  </si>
  <si>
    <t>CSF Hindu Consultation Mtrl Dist. (5291) 25%{Exec}</t>
  </si>
  <si>
    <t>Singapore Initiative (5295) 25%{Exec}</t>
  </si>
  <si>
    <t>CSF Returnee Handbook - New Horizons (5296) 25%{Exec}</t>
  </si>
  <si>
    <t>Australia/New Zealand Initiatives (5299) 25%{Exec}</t>
  </si>
  <si>
    <t>Muslim Student Dialogue (5300) 25%{Exec}</t>
  </si>
  <si>
    <t>Major Donor Events (5301) 25%{Exec}</t>
  </si>
  <si>
    <t>China Initiatives (5305) 25%{Exec}</t>
  </si>
  <si>
    <t>Strat Internet Plan (5303) 0%{Exec}.</t>
  </si>
  <si>
    <t>Hong Kong Incorporation (5306) 0%{Exec}</t>
  </si>
  <si>
    <t>Mdl East Dev GFUN (5308) 25%{Exec}</t>
  </si>
  <si>
    <t>Field Staff Support Director (5324) 25%{Exec}</t>
  </si>
  <si>
    <t>Reg Inf Min Exp Rec (5329) 25%{Exec}</t>
  </si>
  <si>
    <t>Boyd, William [Roy] (5434) min rep 15%</t>
  </si>
  <si>
    <t>Stark, James [Alex] (5754) min rep 15%</t>
  </si>
  <si>
    <t>Tuscan AZ (5782) 15% {Crowell}</t>
  </si>
  <si>
    <t>Ann Arbor Bible  (5800) 5%{Champoux}</t>
  </si>
  <si>
    <t>San Diego Cnty Ops (5830) 15% {maneevone}</t>
  </si>
  <si>
    <t>Tempe (5829) 15% {boyles}</t>
  </si>
  <si>
    <t>Boulder City Account (5842) 15% {yabuki}</t>
  </si>
  <si>
    <t>Albuquerque City (5836) 15% {yabuki}</t>
  </si>
  <si>
    <t>AustinStudSponsorshp (5839) 0% {yabuki}</t>
  </si>
  <si>
    <t>Hays, KS (5840) 15% {yabuki}</t>
  </si>
  <si>
    <t>Kearney, NE (5849) 15% {yabuki}</t>
  </si>
  <si>
    <t>Rocky Mtn Events (5861) 5%5% {yabuki}</t>
  </si>
  <si>
    <t>Southeast Michigan (5863) 15% {yabuki}</t>
  </si>
  <si>
    <t>Nebraska State (5867) 15% {yabuki}</t>
  </si>
  <si>
    <t>Pueblo, CO (5871)  15% {yabuki}</t>
  </si>
  <si>
    <t>Tempe Area Scholarships (5875) 0% {boyles}</t>
  </si>
  <si>
    <t>NE Region Events (5896) 5%5% {larson}</t>
  </si>
  <si>
    <t>Rhode Island (5892) 15% {larson}</t>
  </si>
  <si>
    <t>Baltimore (5841) 15% {larson}</t>
  </si>
  <si>
    <t>Washington DC (5813) 15% {sigman}</t>
  </si>
  <si>
    <t>Shirk, Carl &amp; Lesley (5687) 15%</t>
  </si>
  <si>
    <t>NYC Student Internship (5124) 15% {Althouse}</t>
  </si>
  <si>
    <t>Chicago Mobilization - (5402) 10% {Ingram}</t>
  </si>
  <si>
    <t>Colo Sprgs Fund Event (5048) 5%5% Halverson}</t>
  </si>
  <si>
    <t>Philadelphia City (5033) 15% {Newbrander}</t>
  </si>
  <si>
    <t>KC Park University (5032) 15% {Douglass}</t>
  </si>
  <si>
    <t>Wichita Activity Acct (5031) 15% {Allen}</t>
  </si>
  <si>
    <t>NE Region TRUE Retreats (5030) 10% {Hope}</t>
  </si>
  <si>
    <t>New Brunswick, NJ City (5029) 15% {Mannon}</t>
  </si>
  <si>
    <t>Fayetteville City (5021) 15% {Grove}</t>
  </si>
  <si>
    <t>Purdue University IN (5020) 15% {Zull}</t>
  </si>
  <si>
    <t>Northridge, CA Events (5019) 10% {Downs}</t>
  </si>
  <si>
    <t>Iowa City (5017) 15% {Younkin}</t>
  </si>
  <si>
    <t>Santz Cruz Events (5016) 5%5% {Pollard}</t>
  </si>
  <si>
    <t>Bloomington, IN Special (5015) 10% {Hawes}</t>
  </si>
  <si>
    <t>West/Cent NY &amp; West PA (5013) 15% {Larson}</t>
  </si>
  <si>
    <t>KC Fund Raise Event (5009) 10% {Douglass}</t>
  </si>
  <si>
    <t>Bloomington/Normal, Illinois (5008) 15% {Berger}</t>
  </si>
  <si>
    <t>Western NY &amp; PA Event (5002) 10% {Larson}</t>
  </si>
  <si>
    <t>Ithica NY (5001) 15% {Larson}</t>
  </si>
  <si>
    <t>Chicago Christian Stud Mob (5529) 15% {Ingram}</t>
  </si>
  <si>
    <t>Twin Cities Scholarships (5644) 0% {Hutton}</t>
  </si>
  <si>
    <t>Boston Student Activity (5799) 15% {Hope}</t>
  </si>
  <si>
    <t>Ann Arbor (5801) 15% {Champoux}</t>
  </si>
  <si>
    <t>Spokane, WA (5803) 15% {Zeigler}</t>
  </si>
  <si>
    <t>Bloomington, Indiana (5805) 15% {Hawes}</t>
  </si>
  <si>
    <t>Houston City (5797) 15% {Yabuki}</t>
  </si>
  <si>
    <t>Houston Events (5798) 5%5% {Yabuki}</t>
  </si>
  <si>
    <t>NYC (5821) 15% {Althouse}</t>
  </si>
  <si>
    <t>Honolulu City (5880) 15% {prensner}</t>
  </si>
  <si>
    <t>St. Louis Events (5882) 5%5% {weston}</t>
  </si>
  <si>
    <t>Irvine CA  Events (5883) 5%5% {apgar}</t>
  </si>
  <si>
    <t>Irvine CA (5884) 15% {apgar}</t>
  </si>
  <si>
    <t>LA/Orange Stud Spon (5885) 0% {pearce}</t>
  </si>
  <si>
    <t>Ann Arbor Conf/Ret (5887) 0% {champoux}</t>
  </si>
  <si>
    <t>Ann Arbor Events (5888) 5%5% {champoux}</t>
  </si>
  <si>
    <t>Dallas Area Internships (5898) 15% {bunyard}</t>
  </si>
  <si>
    <t>Vermillion, SD (5903) 15% {yabuki}</t>
  </si>
  <si>
    <t>Friends International UK (5963) 5% {shaw}</t>
  </si>
  <si>
    <t>UTD Ministry (5891) 15% {bunyard}</t>
  </si>
  <si>
    <t>Haddock, Stephanie (5688) 15%</t>
  </si>
  <si>
    <t>Haddock de Jesu</t>
  </si>
  <si>
    <t>Jamieson Herman</t>
  </si>
  <si>
    <t>Herman, Jamieson (5679) 15%</t>
  </si>
  <si>
    <t>Cordell, Beth (5681) 15%</t>
  </si>
  <si>
    <t>expense date</t>
  </si>
  <si>
    <t>Date of Expenses</t>
  </si>
  <si>
    <t>Todays date</t>
  </si>
  <si>
    <t>Today - 30</t>
  </si>
  <si>
    <t>today - 60</t>
  </si>
  <si>
    <t>Date due</t>
  </si>
  <si>
    <t>Day Due</t>
  </si>
  <si>
    <t>Lookup Date</t>
  </si>
  <si>
    <t>Dallas, City of (5408) 15% {bunyard}</t>
  </si>
  <si>
    <t>Dallas Retreat (5409) 0% {bunyard}</t>
  </si>
  <si>
    <t>Dallas City Events (5410) 5%5% {bunyard}</t>
  </si>
  <si>
    <t>UT Arlington Student Activity (5811) 15% {bunyard}</t>
  </si>
  <si>
    <t>Dallas Student Spons (5878) 0% {bunyard}</t>
  </si>
  <si>
    <t>UT Arlington (5890) 15% {bunyard}</t>
  </si>
  <si>
    <t>TCU Campus Ministyr (5851) 15% {bunyard}</t>
  </si>
  <si>
    <t>Jaletta, Blen (5693) 15%</t>
  </si>
  <si>
    <t>The meal sheet should not be used for planned events, but rather for drop by visits</t>
  </si>
  <si>
    <t>warning date</t>
  </si>
  <si>
    <t>Pam cell/ Derrah hotspot/ipod</t>
  </si>
  <si>
    <t>Cell verified 2014</t>
  </si>
  <si>
    <t>Cell verified 2016</t>
  </si>
  <si>
    <t>Ruth Cell=30, Internet (ITV not TV)</t>
  </si>
  <si>
    <t>ATT=25%, Wife cell, IPOD, Time Warner - $10</t>
  </si>
  <si>
    <t>Cell verified 2015</t>
  </si>
  <si>
    <t>Cell verified 2015 50%</t>
  </si>
  <si>
    <t>Business Phone 50%</t>
  </si>
  <si>
    <t>Verified 2015 not bundled</t>
  </si>
  <si>
    <t>Cell verified 2015 no home phone</t>
  </si>
  <si>
    <t>Phone verified 2015</t>
  </si>
  <si>
    <t>Landline not allowed - personal</t>
  </si>
  <si>
    <t>Northern NJ Area (5039) 15% {Innis}</t>
  </si>
  <si>
    <t>Stillwater, OK (5038) 15% (Frost}</t>
  </si>
  <si>
    <t>Gustafson, Zofia (5697) 15%</t>
  </si>
  <si>
    <t>Denver CO (5872) 15% {mills}</t>
  </si>
  <si>
    <t>Urbana/Champaign, IL (5041) 15% {Krehbeil}</t>
  </si>
  <si>
    <t>Deposit Date</t>
  </si>
  <si>
    <t>LINDVALL</t>
  </si>
  <si>
    <t>Joshua Tidd</t>
  </si>
  <si>
    <t>TJ</t>
  </si>
  <si>
    <t>Tidd, Joshua (5704) 15%</t>
  </si>
  <si>
    <t>Auraria Ministry (5006) 15% {Mills}</t>
  </si>
  <si>
    <t>http://financeisi.weebly.com/downloads.html</t>
  </si>
  <si>
    <t>Mahmoudi, Mohammad (5707) 15%</t>
  </si>
  <si>
    <t>Vehicle/Work/Office Location:</t>
  </si>
  <si>
    <t>Chen, Denise (5710) 15%</t>
  </si>
  <si>
    <t>Herring, Richard (5712) 15%</t>
  </si>
  <si>
    <t>Carpenter, Amber (5713) 15%</t>
  </si>
  <si>
    <t>Durestnefeld, Richard (5715) 15%</t>
  </si>
  <si>
    <t>Langford, Lezlie (5726) 15%</t>
  </si>
  <si>
    <t>Moynihan, Wendy (5728) 15%</t>
  </si>
  <si>
    <t>Roberson, William (5730) 15%</t>
  </si>
  <si>
    <t>Colorado Springs Retreat (5010) 10% {Halverson}</t>
  </si>
  <si>
    <t>Jackson</t>
  </si>
  <si>
    <t>Blacksburg, VA (5043) 15%</t>
  </si>
  <si>
    <t>Bevan Special (5097) 10%</t>
  </si>
  <si>
    <t>CARPENTER A</t>
  </si>
  <si>
    <t>LANGFORD LEZ</t>
  </si>
  <si>
    <t>Lezlie Langford</t>
  </si>
  <si>
    <t>Wendy Moynihan</t>
  </si>
  <si>
    <t>ROBERSON WILL</t>
  </si>
  <si>
    <t>William Roberson</t>
  </si>
  <si>
    <t>Dodd, Lisa &amp; Chuck (5743) 15%</t>
  </si>
  <si>
    <t>Camomile, James &amp; Lisa (5738) 15%</t>
  </si>
  <si>
    <t>DODD, CHUC LISA</t>
  </si>
  <si>
    <t>CAMOMILE J&amp;L</t>
  </si>
  <si>
    <t>HON LAM</t>
  </si>
  <si>
    <t>Lam, Hon (5740) 15%</t>
  </si>
  <si>
    <t>Halferty, Sarah (5763) 15%</t>
  </si>
  <si>
    <t>SARAH HALFERTY</t>
  </si>
  <si>
    <t>Harms, Joseph (5759) 15%</t>
  </si>
  <si>
    <t>Seger, Christine (5757) 15%</t>
  </si>
  <si>
    <t>CHRISTINE SEGER</t>
  </si>
  <si>
    <t>Caddell, Angela (5784) 15%</t>
  </si>
  <si>
    <t>Director of Field Develompment (2304)</t>
  </si>
  <si>
    <t>Boyle Special (5042) 10%</t>
  </si>
  <si>
    <t>Boitz, Joy Alynn [Curtis] (5158) min rep 15%</t>
  </si>
  <si>
    <t>Simpson, Jim &amp; Chloe (5773) 15%</t>
  </si>
  <si>
    <t>HOLBROOK LON</t>
  </si>
  <si>
    <t>Holbrook, Lon &amp; Courtney (5755) 15%</t>
  </si>
  <si>
    <t>Herholz, Shaun &amp; Andreea (5750) 15%</t>
  </si>
  <si>
    <t>Watson, Luke &amp; Maude (5772) 15%</t>
  </si>
  <si>
    <t>Lee-Paul, Nancy (5907) 15%</t>
  </si>
  <si>
    <t>Lasher, Trace (5747) 15%</t>
  </si>
  <si>
    <t>Classen, Gary (5908) 15%</t>
  </si>
  <si>
    <t>Larson, Ruth (5168) min rep 15%</t>
  </si>
  <si>
    <t>Dorsch, Bob (5911) 5%</t>
  </si>
  <si>
    <t>Dykstra, Judy &amp; Doug (5914) 15%</t>
  </si>
  <si>
    <t>Washington, Dennis (5916) 15%</t>
  </si>
  <si>
    <t>Weir, John (5918) 15%</t>
  </si>
  <si>
    <t>Woo, Rebecca (5920) 15%</t>
  </si>
  <si>
    <t>Kopp, Rob (5922) 15%</t>
  </si>
  <si>
    <t>KOPP ROB</t>
  </si>
  <si>
    <t>BASTIAN D&amp;P</t>
  </si>
  <si>
    <t>Bastian, D&amp;P (5925) 15%</t>
  </si>
  <si>
    <t>Johnson, Gerg &amp; Liz (5927) 15%</t>
  </si>
  <si>
    <t>MENGE SARAH</t>
  </si>
  <si>
    <t>Sarah Menge</t>
  </si>
  <si>
    <t>Jennifer Samson</t>
  </si>
  <si>
    <t>Menge, Sarah (5737) 15%</t>
  </si>
  <si>
    <t>Spain, Sarah (5724) 15%</t>
  </si>
  <si>
    <t>Willis, Kristy (5620) 15%</t>
  </si>
  <si>
    <t>Casper, Hollie &amp; Jason (5238) 15%</t>
  </si>
  <si>
    <t>Daniel, Kimberly (5144) 15%</t>
  </si>
  <si>
    <t>Ainsworth, Jacob (5145) 15%</t>
  </si>
  <si>
    <t>Mathew, Subhash (5146) 15%</t>
  </si>
  <si>
    <t>LaShelle, Brett (5160) 15%</t>
  </si>
  <si>
    <t>now</t>
  </si>
  <si>
    <t>dead time</t>
  </si>
  <si>
    <t>Special Reimb</t>
  </si>
  <si>
    <t>weekly</t>
  </si>
  <si>
    <t>monthly</t>
  </si>
  <si>
    <t>Gifts - limited to $100 per family</t>
  </si>
  <si>
    <t>Gifts to volunteers limited to $75</t>
  </si>
  <si>
    <t>Gifts to students limited to $150</t>
  </si>
  <si>
    <t>Ministry Consumables (i.e Bibles)</t>
  </si>
  <si>
    <t>Subhash Mathew</t>
  </si>
  <si>
    <t>LaShelle Brett</t>
  </si>
  <si>
    <t>Brett LaShelle</t>
  </si>
  <si>
    <t>Parlett, Nancy (5173) 15%</t>
  </si>
  <si>
    <t>PARLETTE NANCY</t>
  </si>
  <si>
    <t>AINSWORTH Jacob</t>
  </si>
  <si>
    <t>JACOB AINSWORTH</t>
  </si>
  <si>
    <t>AKHTAR R</t>
  </si>
  <si>
    <t>ALLEN NORM</t>
  </si>
  <si>
    <t>ALTHOUSE VALER</t>
  </si>
  <si>
    <t>ALTIZER KAY</t>
  </si>
  <si>
    <t>ALUMBAUGH J R</t>
  </si>
  <si>
    <t>JON OR RUTH ALUMBAUGH</t>
  </si>
  <si>
    <t>ALUMBAUGH JONA</t>
  </si>
  <si>
    <t/>
  </si>
  <si>
    <t>ANALLA BRIAN</t>
  </si>
  <si>
    <t>BRIAN ANALLA</t>
  </si>
  <si>
    <t>ANDREWS CAROLYN</t>
  </si>
  <si>
    <t>ANTHONY J</t>
  </si>
  <si>
    <t>APGAR DON</t>
  </si>
  <si>
    <t>APGAR SUE</t>
  </si>
  <si>
    <t>ARCHAMBAULT AL</t>
  </si>
  <si>
    <t>ALLISSA ARCHAMBAULT</t>
  </si>
  <si>
    <t>AUVIL RON</t>
  </si>
  <si>
    <t>BABCOCK RANDALL</t>
  </si>
  <si>
    <t>BAKER HERB</t>
  </si>
  <si>
    <t>Doug &amp; Patty Bastian</t>
  </si>
  <si>
    <t>BECKER JUDY</t>
  </si>
  <si>
    <t>BELL ANDREW</t>
  </si>
  <si>
    <t>JOHN &amp; LINDA BERGER</t>
  </si>
  <si>
    <t>BERGMAN, Jeff &amp; Michiko</t>
  </si>
  <si>
    <t>BEVAN J R</t>
  </si>
  <si>
    <t>Joyce and Rod Bevan</t>
  </si>
  <si>
    <t>BILLINGS JUDY</t>
  </si>
  <si>
    <t>BLACK HELEN</t>
  </si>
  <si>
    <t>BOGEN MARK</t>
  </si>
  <si>
    <t>Mark Bogen</t>
  </si>
  <si>
    <t>BOLTON TERESA</t>
  </si>
  <si>
    <t>TERESA BOLTON</t>
  </si>
  <si>
    <t>BOYLE CHAR &amp; T</t>
  </si>
  <si>
    <t>CHARLES &amp; TRACEY BOYLE</t>
  </si>
  <si>
    <t>BRAINTWAIN S</t>
  </si>
  <si>
    <t>DAN &amp; CAROLYN BRANNEN</t>
  </si>
  <si>
    <t>BRICKER ALEX M</t>
  </si>
  <si>
    <t>ALEX and MARY BRICKER</t>
  </si>
  <si>
    <t>BULL PATRICIA</t>
  </si>
  <si>
    <t>BURNS LESLIE</t>
  </si>
  <si>
    <t>BURTON PAUL</t>
  </si>
  <si>
    <t>CADDELL ANGELA</t>
  </si>
  <si>
    <t>CAIN M K</t>
  </si>
  <si>
    <t>MICHAEL OR KATHRYN CAIN</t>
  </si>
  <si>
    <t>Jim &amp; Lisa Camomile</t>
  </si>
  <si>
    <t>CARLSON JOEL</t>
  </si>
  <si>
    <t>CARLSON KIMBERL</t>
  </si>
  <si>
    <t>KIMBERLY CARLSON</t>
  </si>
  <si>
    <t>Amber Carpenter</t>
  </si>
  <si>
    <t>CARROLL S J</t>
  </si>
  <si>
    <t>SAMUEL and JOANNE CARROLL</t>
  </si>
  <si>
    <t>CARTER KATY</t>
  </si>
  <si>
    <t>CASPER J H</t>
  </si>
  <si>
    <t>JASON AND HOLLY CASPER</t>
  </si>
  <si>
    <t>CERMAK TONY</t>
  </si>
  <si>
    <t>TONY AND DAYNA CERMAK</t>
  </si>
  <si>
    <t>CHAMPOUX G</t>
  </si>
  <si>
    <t>CHAMPOUX L L</t>
  </si>
  <si>
    <t>LARRY &amp; LUCY CHAMPOUX</t>
  </si>
  <si>
    <t>CHAN ANDREW</t>
  </si>
  <si>
    <t>ANDREW CHAN</t>
  </si>
  <si>
    <t>CHAN MOLLY</t>
  </si>
  <si>
    <t>CHAN SAMUEL</t>
  </si>
  <si>
    <t>Samuel Chan</t>
  </si>
  <si>
    <t>Mickie Charlier</t>
  </si>
  <si>
    <t>CHAU KENNY</t>
  </si>
  <si>
    <t>CHEN DENISE</t>
  </si>
  <si>
    <t>DENISE CHEN</t>
  </si>
  <si>
    <t>CHRISTOFER HANN</t>
  </si>
  <si>
    <t>CIGANIC ADRIAN</t>
  </si>
  <si>
    <t>Mr. Adrian Ciganic</t>
  </si>
  <si>
    <t>CLAASSEN GARY</t>
  </si>
  <si>
    <t>GARY CLAASSEN</t>
  </si>
  <si>
    <t>CLEMENTS DARIUS</t>
  </si>
  <si>
    <t>COLEMAN PIXIE</t>
  </si>
  <si>
    <t>FRED AND PIXIE COLEMAN</t>
  </si>
  <si>
    <t>Laura Compton</t>
  </si>
  <si>
    <t>Gene and Patty Congdon</t>
  </si>
  <si>
    <t>CORDELL BETH</t>
  </si>
  <si>
    <t>BETH CORDELL</t>
  </si>
  <si>
    <t>Jennifer Cote</t>
  </si>
  <si>
    <t>COTTON R L</t>
  </si>
  <si>
    <t>RAY and LAURA COTTON</t>
  </si>
  <si>
    <t>COX KYLE</t>
  </si>
  <si>
    <t>KYLE COX</t>
  </si>
  <si>
    <t>CRAMER SHANNON</t>
  </si>
  <si>
    <t>CRISPELL LINDA</t>
  </si>
  <si>
    <t>LINDA CRISPELL</t>
  </si>
  <si>
    <t>CROWELL GIL</t>
  </si>
  <si>
    <t>CROWELL TERI</t>
  </si>
  <si>
    <t>CUTLER M</t>
  </si>
  <si>
    <t>DANIEL Kimberly</t>
  </si>
  <si>
    <t>KIMBERLY DANIEL</t>
  </si>
  <si>
    <t>DAVID SAM</t>
  </si>
  <si>
    <t>J. Gordon Decker</t>
  </si>
  <si>
    <t>DELLINGER CARO</t>
  </si>
  <si>
    <t>CAROLE DELLINGER</t>
  </si>
  <si>
    <t>GLENDA &amp; PAUL DEMMIE</t>
  </si>
  <si>
    <t>DALE &amp; CAROLYN DEPALATIS</t>
  </si>
  <si>
    <t>DICKINSON BETH</t>
  </si>
  <si>
    <t>DICKSON L P</t>
  </si>
  <si>
    <t>LARRY AND PAMELA DICKSON</t>
  </si>
  <si>
    <t>DJAN-SAMPSON E</t>
  </si>
  <si>
    <t>EFUA DJAN-SAMPSON</t>
  </si>
  <si>
    <t>CHARLES and LISA DODD</t>
  </si>
  <si>
    <t>DORSCH BOB</t>
  </si>
  <si>
    <t>ROBERT DORSCH</t>
  </si>
  <si>
    <t>DOUGLAS LEE</t>
  </si>
  <si>
    <t>LEE DOUGLAS</t>
  </si>
  <si>
    <t>DOUGLASS CAROL</t>
  </si>
  <si>
    <t>DRAPER CHERYL</t>
  </si>
  <si>
    <t>JOHN &amp; JANET DUGO</t>
  </si>
  <si>
    <t>DUNNE STEPHEN</t>
  </si>
  <si>
    <t>DURSTENFELD BOB</t>
  </si>
  <si>
    <t>Bob Durstenfeld</t>
  </si>
  <si>
    <t>DYKSTRA D J</t>
  </si>
  <si>
    <t>DOUG AND JUDY DYKSTRA</t>
  </si>
  <si>
    <t>EASTON VALERIE</t>
  </si>
  <si>
    <t>EHMANN GINGER</t>
  </si>
  <si>
    <t>EILERS ALICE</t>
  </si>
  <si>
    <t>ELISHA STEVE</t>
  </si>
  <si>
    <t>WAYNE &amp; LESLEY EMERY</t>
  </si>
  <si>
    <t>EVANS WENDY</t>
  </si>
  <si>
    <t>Wendy Evans</t>
  </si>
  <si>
    <t>KEVIN &amp; HEATHER FANNIN</t>
  </si>
  <si>
    <t>FATTY SAINEY</t>
  </si>
  <si>
    <t>FINCK RASHAE</t>
  </si>
  <si>
    <t>Rashae Finck</t>
  </si>
  <si>
    <t>FITZGERALD</t>
  </si>
  <si>
    <t>ROBERT FITZGERALD</t>
  </si>
  <si>
    <t>FLAMMINI S S</t>
  </si>
  <si>
    <t>FLAMMINI, Steve &amp; Sandra</t>
  </si>
  <si>
    <t>FLYNN PATRICK</t>
  </si>
  <si>
    <t>Patrick Flynn</t>
  </si>
  <si>
    <t>FORD ANDREA</t>
  </si>
  <si>
    <t>FOTI VICKY</t>
  </si>
  <si>
    <t>FRAMBES K L</t>
  </si>
  <si>
    <t>KIRK AND LINDA FRAMBES</t>
  </si>
  <si>
    <t>FRIESEN J</t>
  </si>
  <si>
    <t>FROST JIM</t>
  </si>
  <si>
    <t>GERMANN ED V</t>
  </si>
  <si>
    <t>Ed and Vicki Germann</t>
  </si>
  <si>
    <t>GHIMIRE A S</t>
  </si>
  <si>
    <t>ASHOK AND SABINA GHIMIRE</t>
  </si>
  <si>
    <t>ELIZABETH and PAUL GODWIN</t>
  </si>
  <si>
    <t>GOLD TIMOTHY</t>
  </si>
  <si>
    <t>GOLL J S</t>
  </si>
  <si>
    <t>JOSEPH &amp; SHERYL GOLL</t>
  </si>
  <si>
    <t>GRAY MARK</t>
  </si>
  <si>
    <t>MARK OR SHERIDA GRAY</t>
  </si>
  <si>
    <t>GREEN COURTNEY</t>
  </si>
  <si>
    <t>SAM &amp; COURTNEY GREEN</t>
  </si>
  <si>
    <t>GROVE ANDREW</t>
  </si>
  <si>
    <t>ANDREW E GROVE</t>
  </si>
  <si>
    <t>GUNDERSON PAUL</t>
  </si>
  <si>
    <t>GWEE</t>
  </si>
  <si>
    <t>DEREK GWEE</t>
  </si>
  <si>
    <t>Stephanie Haddock de Jesus</t>
  </si>
  <si>
    <t>BUELL AND BARBARA HADLEY</t>
  </si>
  <si>
    <t>HAISLIP KEVIN</t>
  </si>
  <si>
    <t>KEVIN HAISLIP</t>
  </si>
  <si>
    <t>HAKES HANNAH</t>
  </si>
  <si>
    <t>HALFERTY SARAH</t>
  </si>
  <si>
    <t>Dale Halligan</t>
  </si>
  <si>
    <t>HANSEN RANDY</t>
  </si>
  <si>
    <t>Randy Hansen</t>
  </si>
  <si>
    <t>HARGREAVES, SHEILA</t>
  </si>
  <si>
    <t>HARMS JOE</t>
  </si>
  <si>
    <t>JOE HARMS</t>
  </si>
  <si>
    <t>HAVEN BREANNE</t>
  </si>
  <si>
    <t>BREANNE HAVEN</t>
  </si>
  <si>
    <t>HAWES RANDY</t>
  </si>
  <si>
    <t>Randy Hawes</t>
  </si>
  <si>
    <t>HELMEN JERRY</t>
  </si>
  <si>
    <t>HERHOLZ A S</t>
  </si>
  <si>
    <t>ANDREEA and SHAUN HERHOLZ</t>
  </si>
  <si>
    <t>HERMAN JAMIESON</t>
  </si>
  <si>
    <t>HERRING RICHARD</t>
  </si>
  <si>
    <t>RICHARD HERRING</t>
  </si>
  <si>
    <t>HERSHBERGER MIC</t>
  </si>
  <si>
    <t>HIRSCH TOM</t>
  </si>
  <si>
    <t>TOM HIRSCH</t>
  </si>
  <si>
    <t>HODGES I E</t>
  </si>
  <si>
    <t>ISABEL &amp; ERIC HODGES</t>
  </si>
  <si>
    <t>Lonnie Holbrook</t>
  </si>
  <si>
    <t>HOLLAND CHRISTI</t>
  </si>
  <si>
    <t>HOPE N</t>
  </si>
  <si>
    <t>Natasha Hope</t>
  </si>
  <si>
    <t>HOPE S</t>
  </si>
  <si>
    <t>HUFF DANA</t>
  </si>
  <si>
    <t>MR. DANA HUFF</t>
  </si>
  <si>
    <t>Richard Huston</t>
  </si>
  <si>
    <t>HYATT JEFF</t>
  </si>
  <si>
    <t>JEFF HYATT</t>
  </si>
  <si>
    <t>INGRAM RONALD</t>
  </si>
  <si>
    <t>INNIS SHIRLEY</t>
  </si>
  <si>
    <t>JACKSON D P</t>
  </si>
  <si>
    <t>DERRAH and PAM JACKSON</t>
  </si>
  <si>
    <t>JACKSON R S</t>
  </si>
  <si>
    <t>ROBERT  &amp; SANDRA JACKSON</t>
  </si>
  <si>
    <t>JALETTA BLEN</t>
  </si>
  <si>
    <t>BLEN JALETTA</t>
  </si>
  <si>
    <t>JANG NORMAN</t>
  </si>
  <si>
    <t>JANTZ SHELDON</t>
  </si>
  <si>
    <t>JOHNSON GREG L</t>
  </si>
  <si>
    <t>GREG and LIZ JOHNSON</t>
  </si>
  <si>
    <t>Sabu Joseph</t>
  </si>
  <si>
    <t>DAVID &amp; MELANIE KANESHIRO</t>
  </si>
  <si>
    <t>KIM IN CHEOL</t>
  </si>
  <si>
    <t>KINDERMANN LIS</t>
  </si>
  <si>
    <t>JAN &amp; DAVE KOLSTAD</t>
  </si>
  <si>
    <t>ROBERT KOPP</t>
  </si>
  <si>
    <t>KRAGBE LISA</t>
  </si>
  <si>
    <t>KRONSTAD DANIEL</t>
  </si>
  <si>
    <t>LACKEY HEATHER</t>
  </si>
  <si>
    <t>HEATHER LACKEY</t>
  </si>
  <si>
    <t>LAHTI KRISTEN</t>
  </si>
  <si>
    <t>LAM HON</t>
  </si>
  <si>
    <t>LAM P A</t>
  </si>
  <si>
    <t>Phyllis &amp; Abel Lam</t>
  </si>
  <si>
    <t>LAPINSKI ANGEL</t>
  </si>
  <si>
    <t>DAVID &amp; BETH LARSON</t>
  </si>
  <si>
    <t>RUTH LARSON</t>
  </si>
  <si>
    <t>LASCHE JOAN</t>
  </si>
  <si>
    <t>Joan Lasche</t>
  </si>
  <si>
    <t>LASHER TRACE</t>
  </si>
  <si>
    <t>TRACE LASHER</t>
  </si>
  <si>
    <t>LASSITER J R</t>
  </si>
  <si>
    <t>LASSITER, JORDAN and REBEKAH</t>
  </si>
  <si>
    <t>LAWECKI_P</t>
  </si>
  <si>
    <t>Phyllis Lawecki</t>
  </si>
  <si>
    <t>LEE EVA</t>
  </si>
  <si>
    <t>Eva Lee</t>
  </si>
  <si>
    <t>LEE GIDEON</t>
  </si>
  <si>
    <t>GIDEON LEE</t>
  </si>
  <si>
    <t>LEE HYUNJUNG</t>
  </si>
  <si>
    <t>HYUNJUNG LEE</t>
  </si>
  <si>
    <t>LEE PAUL NAN</t>
  </si>
  <si>
    <t>Nancy Lee Paul</t>
  </si>
  <si>
    <t>LEUNG S</t>
  </si>
  <si>
    <t>LIANG JIANYONG</t>
  </si>
  <si>
    <t>Jianyong Liang</t>
  </si>
  <si>
    <t>LIM D</t>
  </si>
  <si>
    <t>LIN JOHN</t>
  </si>
  <si>
    <t>JOHN LIN</t>
  </si>
  <si>
    <t>LINDSEY</t>
  </si>
  <si>
    <t>JENNIFER LINDSEY</t>
  </si>
  <si>
    <t>EMILY LINDVALL</t>
  </si>
  <si>
    <t>John Livingston</t>
  </si>
  <si>
    <t>LOCKWOOD D T</t>
  </si>
  <si>
    <t>LOH JOEL</t>
  </si>
  <si>
    <t>LYNIP S K</t>
  </si>
  <si>
    <t>STEVE AND KAREN LYNIP</t>
  </si>
  <si>
    <t>MACDOUGALL LAU</t>
  </si>
  <si>
    <t>LAUREN MACDOUGALL</t>
  </si>
  <si>
    <t>MAHMOUDI MOHAM</t>
  </si>
  <si>
    <t>Mohammad Mahmoudi</t>
  </si>
  <si>
    <t>MAKIN S C</t>
  </si>
  <si>
    <t>STEVE AND CATHY MAKIN</t>
  </si>
  <si>
    <t>Amy Mammadov</t>
  </si>
  <si>
    <t>WICHIT &amp; MIRIAM MANEEVONE</t>
  </si>
  <si>
    <t>MANNON DAVID</t>
  </si>
  <si>
    <t>MANTA DON</t>
  </si>
  <si>
    <t>MARQUEZ KAROL</t>
  </si>
  <si>
    <t>MARSHALL K J</t>
  </si>
  <si>
    <t>KENT AND JUDY MARSHALL</t>
  </si>
  <si>
    <t>Sunny</t>
  </si>
  <si>
    <t>MASIH SAJID</t>
  </si>
  <si>
    <t>Sajid Masih</t>
  </si>
  <si>
    <t>Scott &amp; Kathy Matheny</t>
  </si>
  <si>
    <t>MCKAIN REBECCA</t>
  </si>
  <si>
    <t>MEADE ELAINE</t>
  </si>
  <si>
    <t>ELAINE MEADE</t>
  </si>
  <si>
    <t>MEULI JENNIFER</t>
  </si>
  <si>
    <t>MILLER MARSHA</t>
  </si>
  <si>
    <t>MARSHA MILLER</t>
  </si>
  <si>
    <t>GAYLE &amp; RON MILLER</t>
  </si>
  <si>
    <t>Jessica Mills</t>
  </si>
  <si>
    <t>Ron and Beth Mills</t>
  </si>
  <si>
    <t>JILL OR MIKE MITCHELL</t>
  </si>
  <si>
    <t>MARC and ELISE MURCHISON</t>
  </si>
  <si>
    <t>TIM &amp; JACQUELINE NEWBRANDER</t>
  </si>
  <si>
    <t>Dana Ng</t>
  </si>
  <si>
    <t>JOEL and MARYBETH NORDTVEDT</t>
  </si>
  <si>
    <t>TIM &amp; KIM NOTEHELFER</t>
  </si>
  <si>
    <t>ORILEY MARY J</t>
  </si>
  <si>
    <t>MARY JANE PONTEN</t>
  </si>
  <si>
    <t>NANCY PARLETTE</t>
  </si>
  <si>
    <t>Andrew &amp; Sandy Pearce</t>
  </si>
  <si>
    <t>Nancy Peterson</t>
  </si>
  <si>
    <t>TRAVIS AND HOLLY PIERCE</t>
  </si>
  <si>
    <t>Peggy Pollard</t>
  </si>
  <si>
    <t>GEORGE &amp; LINDA PRICE</t>
  </si>
  <si>
    <t>Kelly Quek</t>
  </si>
  <si>
    <t>Lynne or Kevin Quinn</t>
  </si>
  <si>
    <t>DENNIS AND DOTTY RIGSTAD</t>
  </si>
  <si>
    <t>ERIC and ANGELA SEEVER</t>
  </si>
  <si>
    <t>JANE SHARKA</t>
  </si>
  <si>
    <t>KASSANIA SHAW</t>
  </si>
  <si>
    <t>DR. DOUG SHAW</t>
  </si>
  <si>
    <t>CARL &amp; LESLEY SHIRKS</t>
  </si>
  <si>
    <t>TIMOTHY and JULIE SIGMAN</t>
  </si>
  <si>
    <t>JAMES and CHLOE SIMPSON</t>
  </si>
  <si>
    <t>KERRY &amp; JOSIE SINCLAIR</t>
  </si>
  <si>
    <t>DAN AND JAN SMITH</t>
  </si>
  <si>
    <t>David Sodergren</t>
  </si>
  <si>
    <t>Jim Spady</t>
  </si>
  <si>
    <t>Ron &amp; Judy Spaulding</t>
  </si>
  <si>
    <t>Mark Spengler</t>
  </si>
  <si>
    <t>JOHN &amp; JOYCE STEERS</t>
  </si>
  <si>
    <t>THOMAS STRUBE</t>
  </si>
  <si>
    <t>SEAN TANG</t>
  </si>
  <si>
    <t>CALEN THOMAS</t>
  </si>
  <si>
    <t>ERV AND JANE THOMAS</t>
  </si>
  <si>
    <t>THOMAS K THOMAS</t>
  </si>
  <si>
    <t>GABRIEL TIPPERY</t>
  </si>
  <si>
    <t>Jeffrey Townsend</t>
  </si>
  <si>
    <t>DANIEL AND PAM UBALDO</t>
  </si>
  <si>
    <t>NSIMA DAVID UDOKO</t>
  </si>
  <si>
    <t>Ed &amp; Margreet van Ouwerkerk</t>
  </si>
  <si>
    <t>MARSHA VAN WAGONEN</t>
  </si>
  <si>
    <t>MARK OR MARY JANE VANDERPUT</t>
  </si>
  <si>
    <t>Mary Ann Vest</t>
  </si>
  <si>
    <t>DENNIS WASHINGTON</t>
  </si>
  <si>
    <t>LUKE and MAUDIE WATSON</t>
  </si>
  <si>
    <t>John Weidler</t>
  </si>
  <si>
    <t>JOHN WEIR</t>
  </si>
  <si>
    <t>ROBERT &amp; AUDREY WELCH</t>
  </si>
  <si>
    <t>MORT &amp; JENNY WHITMAN</t>
  </si>
  <si>
    <t>DIANE-LORI WIECK</t>
  </si>
  <si>
    <t>Dave  Q Williams</t>
  </si>
  <si>
    <t>KRISTY WILLIS</t>
  </si>
  <si>
    <t>REBECCA WOO</t>
  </si>
  <si>
    <t>Elizabeth Yabuki</t>
  </si>
  <si>
    <t>TERRY YU</t>
  </si>
  <si>
    <t>BECKY ZEIGLER</t>
  </si>
  <si>
    <t>ANDERSON WAYNE</t>
  </si>
  <si>
    <t>DR. WAYNE ANDERSON</t>
  </si>
  <si>
    <t>BLACK</t>
  </si>
  <si>
    <t>STAN BLACK</t>
  </si>
  <si>
    <t>CHEN YAFEI</t>
  </si>
  <si>
    <t>YAFEI CHEN</t>
  </si>
  <si>
    <t>CHENYU LIU</t>
  </si>
  <si>
    <t>LIU CHENYU</t>
  </si>
  <si>
    <t>DUREN ELLEN</t>
  </si>
  <si>
    <t>ELLEN DUREN</t>
  </si>
  <si>
    <t>EILERS MARC</t>
  </si>
  <si>
    <t>MARC EILERS</t>
  </si>
  <si>
    <t>HANSEN ALAN ELI</t>
  </si>
  <si>
    <t>Alan &amp; Elizabeth Hansen</t>
  </si>
  <si>
    <t>JOHNSTON SUE</t>
  </si>
  <si>
    <t>Sue Johnston</t>
  </si>
  <si>
    <t>LARSON, D B</t>
  </si>
  <si>
    <t>LAU NATALIE</t>
  </si>
  <si>
    <t>LAU YUEN CHING</t>
  </si>
  <si>
    <t>LONG JUDY</t>
  </si>
  <si>
    <t>JUDY LONG</t>
  </si>
  <si>
    <t>MACDONALD MIKE</t>
  </si>
  <si>
    <t>Mike MacDonald</t>
  </si>
  <si>
    <t>MAMMADOV AMY</t>
  </si>
  <si>
    <t>MANEEVONE W M</t>
  </si>
  <si>
    <t>MATHENY S K</t>
  </si>
  <si>
    <t>MATHEW SUBHA</t>
  </si>
  <si>
    <t>MILLER REBEKAH</t>
  </si>
  <si>
    <t>MILLER RON GAYL</t>
  </si>
  <si>
    <t>MILLS JESS</t>
  </si>
  <si>
    <t>MILLS RON BETH</t>
  </si>
  <si>
    <t>MITCHELL JILL</t>
  </si>
  <si>
    <t>MOSHER CRAIG</t>
  </si>
  <si>
    <t>MOYNIHAN WENDY</t>
  </si>
  <si>
    <t>MULL ANDY</t>
  </si>
  <si>
    <t>NELSON JEFF</t>
  </si>
  <si>
    <t>NEUSSE, CINDY</t>
  </si>
  <si>
    <t>RICH &amp; CINDY NEUSSE</t>
  </si>
  <si>
    <t>NEWBRANDER T J</t>
  </si>
  <si>
    <t>NEWPHER JEFF</t>
  </si>
  <si>
    <t>NG BOON-KHAI</t>
  </si>
  <si>
    <t>NG DANA</t>
  </si>
  <si>
    <t>Jochebed Ngun</t>
  </si>
  <si>
    <t>Yosi Ngun</t>
  </si>
  <si>
    <t>NORDTVEDT JOE M</t>
  </si>
  <si>
    <t>NOTEHELFER T K</t>
  </si>
  <si>
    <t>OLEAN TAMMY</t>
  </si>
  <si>
    <t>ONG ANDRE</t>
  </si>
  <si>
    <t>DOREEN PATTERSON</t>
  </si>
  <si>
    <t>PAXTON MARION</t>
  </si>
  <si>
    <t>PEARCE ANDY SAN</t>
  </si>
  <si>
    <t>PETERSON NANCY</t>
  </si>
  <si>
    <t>PIERCE T H</t>
  </si>
  <si>
    <t>POLLARD PEGGY</t>
  </si>
  <si>
    <t>PRICE GEORGE L</t>
  </si>
  <si>
    <t>QUEK KELL</t>
  </si>
  <si>
    <t>QUINN LYNNE KEV</t>
  </si>
  <si>
    <t>RAYBON DEBBIE</t>
  </si>
  <si>
    <t>ELLEN REIST</t>
  </si>
  <si>
    <t>RIGSTAD DEN D</t>
  </si>
  <si>
    <t>ROELANTS RENEE</t>
  </si>
  <si>
    <t>RUNYON STEPHEN</t>
  </si>
  <si>
    <t>SAMSON JENNIFER</t>
  </si>
  <si>
    <t>Rex Santee</t>
  </si>
  <si>
    <t>SAUR TED</t>
  </si>
  <si>
    <t>SCHAEFFER AVA</t>
  </si>
  <si>
    <t>SEEVER ERIC</t>
  </si>
  <si>
    <t>SEGER CHRISTIN</t>
  </si>
  <si>
    <t>SHARKA JANE</t>
  </si>
  <si>
    <t>SHAW DOUG</t>
  </si>
  <si>
    <t>SHAW SUSAN</t>
  </si>
  <si>
    <t>SUSAN SHAW</t>
  </si>
  <si>
    <t>SHELLEY DAVID</t>
  </si>
  <si>
    <t>SHIRKS CARL LE</t>
  </si>
  <si>
    <t>SIMPSON JIMMY</t>
  </si>
  <si>
    <t>SMUCKER MATTHE</t>
  </si>
  <si>
    <t>SONG SI-CHUN</t>
  </si>
  <si>
    <t>SPENGLER MARK</t>
  </si>
  <si>
    <t>STEGEHUIS TERR</t>
  </si>
  <si>
    <t>STEWART JERILYN</t>
  </si>
  <si>
    <t>STORMS DAVID</t>
  </si>
  <si>
    <t>STRUBE THOMAS</t>
  </si>
  <si>
    <t>YUKAI SUN</t>
  </si>
  <si>
    <t>NG JOANNA</t>
  </si>
  <si>
    <t>NGUN JOCHEBED</t>
  </si>
  <si>
    <t>NGUN YOSE</t>
  </si>
  <si>
    <t>PATTERSON DOREE</t>
  </si>
  <si>
    <t>REIST ELLEN</t>
  </si>
  <si>
    <t>SANTEE REX</t>
  </si>
  <si>
    <t>SUN YUKAI</t>
  </si>
  <si>
    <t>TANG SEAN</t>
  </si>
  <si>
    <t>THOMAS CALEN</t>
  </si>
  <si>
    <t>THOMAS ERV J</t>
  </si>
  <si>
    <t>THOMAS SANDEEP</t>
  </si>
  <si>
    <t>TIDD JOSH</t>
  </si>
  <si>
    <t>TIPPERY GABRIEL</t>
  </si>
  <si>
    <t>TOVAR ALEX</t>
  </si>
  <si>
    <t>TOWNSEND JEFFRE</t>
  </si>
  <si>
    <t>TRUEX AUBREY</t>
  </si>
  <si>
    <t>UBALDO DAN P</t>
  </si>
  <si>
    <t>UDOKO NSIMA DAV</t>
  </si>
  <si>
    <t>VAN OUWERKERK E</t>
  </si>
  <si>
    <t>VAN WAGENEN MAR</t>
  </si>
  <si>
    <t>VANDERPUT M M</t>
  </si>
  <si>
    <t>WASHINGTON DENN</t>
  </si>
  <si>
    <t>WATSON LUKE M</t>
  </si>
  <si>
    <t>WEBSTER ERNA</t>
  </si>
  <si>
    <t>WEICK DIANE LOR</t>
  </si>
  <si>
    <t>WEIDLER JOHN</t>
  </si>
  <si>
    <t>WEIR JOHN</t>
  </si>
  <si>
    <t>WELSH AUDREY R</t>
  </si>
  <si>
    <t>WESTON TIM</t>
  </si>
  <si>
    <t>WHITE CARLA</t>
  </si>
  <si>
    <t>WHITMAN M J</t>
  </si>
  <si>
    <t>WILLIAM DAVE Q</t>
  </si>
  <si>
    <t>WILLIS KRISTY</t>
  </si>
  <si>
    <t>WITJANDRA FREDD</t>
  </si>
  <si>
    <t>WOO REBECCA</t>
  </si>
  <si>
    <t>YESUDASAN TEDDY</t>
  </si>
  <si>
    <t>YOUNKIN DAN</t>
  </si>
  <si>
    <t>YU TERRY</t>
  </si>
  <si>
    <t>ZULL PETER</t>
  </si>
  <si>
    <t>YABUKI ROY LISA</t>
  </si>
  <si>
    <t>ZEIGLER S B</t>
  </si>
  <si>
    <t>WOODS SCOTT</t>
  </si>
  <si>
    <t>r</t>
  </si>
  <si>
    <t>HAYZLETT P S</t>
  </si>
  <si>
    <t>Paul and susan hayzlett</t>
  </si>
  <si>
    <t>NANCY JONSSON</t>
  </si>
  <si>
    <t>JONSSON NANCY</t>
  </si>
  <si>
    <t>Nancy jonsson</t>
  </si>
  <si>
    <t>MAC THUONG ELIZ</t>
  </si>
  <si>
    <t>TK MAC</t>
  </si>
  <si>
    <t>Expense Reimbursement Summary Form</t>
  </si>
  <si>
    <t xml:space="preserve">Frost, Jim Intl (9307) 15% </t>
  </si>
  <si>
    <t>Bunyard, Ronald Intl (9776) 15%</t>
  </si>
  <si>
    <t>Curtis, Tyler (5190) 15%</t>
  </si>
  <si>
    <t>TYLER CURTIS</t>
  </si>
  <si>
    <t>CURTIS TYLER</t>
  </si>
  <si>
    <t>Udoko Nsima (5177) 15%</t>
  </si>
  <si>
    <t>Eilers Marc (5180) 15%</t>
  </si>
  <si>
    <t>Hayzlett, P&amp;S (5184) 15%</t>
  </si>
  <si>
    <t>Mac TK &amp; Liz (5185) 15%</t>
  </si>
  <si>
    <t>India Project (5242) 25%</t>
  </si>
  <si>
    <t>w33</t>
  </si>
  <si>
    <t>Ingram Special (5062) 10%</t>
  </si>
  <si>
    <t>Dumaresq, Rachel (5206) 15%</t>
  </si>
  <si>
    <t>Kindermann, Lisa &amp; Steve () 15%</t>
  </si>
  <si>
    <t>Wilson, Ben &amp; Rachel (5222) 15%</t>
  </si>
  <si>
    <t>WILSON BEN</t>
  </si>
  <si>
    <t>Ben Wilson</t>
  </si>
  <si>
    <t>FROST, JOHN CAR</t>
  </si>
  <si>
    <t>Olson, Joshua (5235) 15%</t>
  </si>
  <si>
    <t>Olson, Joshua</t>
  </si>
  <si>
    <t>Joshua Olson</t>
  </si>
  <si>
    <t>Pens, Pencils, Staples, Post-it notes</t>
  </si>
  <si>
    <t>Examples</t>
  </si>
  <si>
    <t>Food while traveling (NOT donor meals)</t>
  </si>
  <si>
    <t>Out-of-town Cab Fare, Bus, Subway</t>
  </si>
  <si>
    <t>Airline tickets</t>
  </si>
  <si>
    <t>Rental Car (plus gas)</t>
  </si>
  <si>
    <t>Meals with students</t>
  </si>
  <si>
    <t>Equipment &gt; $2,500 (Fixed Assets)</t>
  </si>
  <si>
    <r>
      <t xml:space="preserve">Equipment &gt; </t>
    </r>
    <r>
      <rPr>
        <sz val="12"/>
        <rFont val="Arial"/>
        <family val="2"/>
      </rPr>
      <t xml:space="preserve">($2,500 </t>
    </r>
    <r>
      <rPr>
        <sz val="11"/>
        <rFont val="Arial"/>
        <family val="2"/>
      </rPr>
      <t>(on payment plan)</t>
    </r>
  </si>
  <si>
    <t>capital equip &lt; 1000</t>
  </si>
  <si>
    <t>capital equip &gt; 2500</t>
  </si>
  <si>
    <t>Office Expense Items</t>
  </si>
  <si>
    <t>Equipment &gt;$2,500 (Fixed Asset)</t>
  </si>
  <si>
    <t>Equipment &gt;$2,500 on Payment Plan</t>
  </si>
  <si>
    <t>Wolf, Charles (5218) 5%</t>
  </si>
  <si>
    <t>WOLF, CHARLES</t>
  </si>
  <si>
    <t>Charles Wolf</t>
  </si>
  <si>
    <t>Charle Wolf</t>
  </si>
  <si>
    <t>VOTH LISA</t>
  </si>
  <si>
    <t>Lisa Voth</t>
  </si>
  <si>
    <t>Voth, Lisa (5226) 15%</t>
  </si>
  <si>
    <t>Lasche, Joan (5312) 15%</t>
  </si>
  <si>
    <t>Equipment &gt;$1,000 (Equipment Expense)</t>
  </si>
  <si>
    <t>Equipment &gt; $1,000 on Payment Plan</t>
  </si>
  <si>
    <t>If capital equipment has not been recorded in the G/L, then make this entry for items listed on capital sheet &gt; 2500</t>
  </si>
  <si>
    <t>doc amt</t>
  </si>
  <si>
    <t>Enter Asset GL</t>
  </si>
  <si>
    <t>Equipment &gt; $1,000(Eqmnt Exp)</t>
  </si>
  <si>
    <t xml:space="preserve">then reverse as follows:                  DR 22170/No Proj                        Cr 50114/8999                 </t>
  </si>
  <si>
    <t>then reverse as follows:   asset gl/NoProj          Dr     50114/8999        Cr</t>
  </si>
  <si>
    <t>Special Notes To Finance Department</t>
  </si>
  <si>
    <t>Cossette, Richard &amp; Carol (9336) 15%</t>
  </si>
  <si>
    <t>Yu, Terry (9661) 15%</t>
  </si>
  <si>
    <t>Guzman, JaNae (5659) 15%</t>
  </si>
  <si>
    <t>GUZMAN JANAE</t>
  </si>
  <si>
    <t>JaNae Guzman</t>
  </si>
  <si>
    <t>WOODS JOANNA</t>
  </si>
  <si>
    <t>JOANNA Woods</t>
  </si>
  <si>
    <t>Woods, Joanna (5526) 15%</t>
  </si>
  <si>
    <t>Woods Special (5046) 10%</t>
  </si>
  <si>
    <t>Frost, John &amp; Carolyn (5216) 15%</t>
  </si>
  <si>
    <t>Minimum Number of Receipts to be sent</t>
  </si>
  <si>
    <r>
      <t>***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capital purchases for more than $1000 requires Home Office Approval</t>
    </r>
  </si>
  <si>
    <t>**Expenses must be submitted with  in 60 days of being incurred.</t>
  </si>
  <si>
    <r>
      <t>*</t>
    </r>
    <r>
      <rPr>
        <b/>
        <i/>
        <sz val="10"/>
        <color rgb="FFFF0000"/>
        <rFont val="Arial"/>
        <family val="2"/>
      </rPr>
      <t xml:space="preserve">Original Unalterable Itemized </t>
    </r>
    <r>
      <rPr>
        <b/>
        <i/>
        <sz val="10"/>
        <rFont val="Arial"/>
        <family val="2"/>
      </rPr>
      <t>Receipts required if $75.00 or greater</t>
    </r>
  </si>
  <si>
    <t>Minimum Number Receipts to be Mailed</t>
  </si>
  <si>
    <t>Minimum Number of Receipts to be Mailed</t>
  </si>
  <si>
    <t>By submitting this form to ISI Finance Department, I attest that no alcohol or tobacco was purchsed with ISI funds</t>
  </si>
  <si>
    <t>meal</t>
  </si>
  <si>
    <t>breakfast</t>
  </si>
  <si>
    <t>gift</t>
  </si>
  <si>
    <t>***Receipts required on ALL lodging regardless of amount</t>
  </si>
  <si>
    <t>Hotel</t>
  </si>
  <si>
    <t>Lodging</t>
  </si>
  <si>
    <t>motel</t>
  </si>
  <si>
    <t>Classen, Gary (9908) 15%</t>
  </si>
  <si>
    <t>Donor</t>
  </si>
  <si>
    <t>donor</t>
  </si>
  <si>
    <t>voluteer</t>
  </si>
  <si>
    <t>student</t>
  </si>
  <si>
    <t>personal</t>
  </si>
  <si>
    <t>bible study</t>
  </si>
  <si>
    <t>Please indicate how the study impacts ministry.</t>
  </si>
  <si>
    <t>Smucker, Matt &amp; Holly (5424) 15%</t>
  </si>
  <si>
    <t>Please Explain Ministry Purpose.</t>
  </si>
  <si>
    <t>Please provide donor name.</t>
  </si>
  <si>
    <t>uj5z</t>
  </si>
  <si>
    <t>People Services (2104) 0% {Teresa}</t>
  </si>
  <si>
    <t>Executive Office (1100) 0% {Shaw, Tovar}</t>
  </si>
  <si>
    <t>President's Contingency (1101) 0%{Shaw,Tovar}</t>
  </si>
  <si>
    <t>Building Initiative (1605) 25% {Shaw, Tover}</t>
  </si>
  <si>
    <t>Global Ministries (2500) {Rogers}</t>
  </si>
  <si>
    <t>Web site/Publications (2600) 0%{R Miller}</t>
  </si>
  <si>
    <t>Operations (3100) 0%{Tovar}</t>
  </si>
  <si>
    <t>Western Region (3111) 10%{Zeigler}</t>
  </si>
  <si>
    <t>Rocky Mtn Plains (10%){Yabuki}</t>
  </si>
  <si>
    <t>Southern Great Lakes Region (10%){Germann}</t>
  </si>
  <si>
    <t>Expansion &amp; Recruitment (3150) 0%{Tovar,Crowell T}</t>
  </si>
  <si>
    <t>Finance (3200) 0%{Waldie}</t>
  </si>
  <si>
    <t>Ministry Advancement  (3300) 0%{Tovar, Holland}</t>
  </si>
  <si>
    <t>San Diego Launch Initiatives (3301) 0%{Shaw, Tovar}</t>
  </si>
  <si>
    <t>Houston Launch Initiatives (3302) 0%{Shaw, Tovar}</t>
  </si>
  <si>
    <t>NMF Major Donor Days (3303) 0%{Shaw, Tovar}</t>
  </si>
  <si>
    <t>Western Region True Retreat (5040) 15%{zeigler}</t>
  </si>
  <si>
    <t>Richland, TX (5047) 15% {christopher}</t>
  </si>
  <si>
    <t>Returnee Followup Training (5050) 25%{Shaw, Tovar}</t>
  </si>
  <si>
    <t>Global Conference ISI Vision Inst ECFA (5051) 25%{Shaw, Tovar}</t>
  </si>
  <si>
    <t>Overseas Directors in Key Cities --ECFA (5053) 25%{Shaw, Tovar}</t>
  </si>
  <si>
    <t>Middle Eastern Student Outreach (5054) 25%{Shaw, Tovar}</t>
  </si>
  <si>
    <t>Media Initatives (5055) 25%{Shaw, Tovar}</t>
  </si>
  <si>
    <t>International Student Global Initiatie (5057) 25%{Shaw, Tovar}</t>
  </si>
  <si>
    <t>Undergraduate Ministires AZ (5059) 15%{Crowell G}</t>
  </si>
  <si>
    <t>Japan Relief Fund (5060) 25%{Shaw, Tovar}</t>
  </si>
  <si>
    <t>Disaster Releif Fund (5060) 0%{Shaw, Tovar}</t>
  </si>
  <si>
    <t>Charlottesville, VA (5061) 15%{Downs}</t>
  </si>
  <si>
    <t>SF Area Univ Outreach (5065) 25%{Harper}</t>
  </si>
  <si>
    <t>So. Baptist Collaboration Initiative (5070) 25%{Shaw, Tovar}</t>
  </si>
  <si>
    <t>Top Strategic Initiative (5075) 25%{Shaw, Tovar}</t>
  </si>
  <si>
    <t>ISI Global impact (5080)%{Shaw, Tovar}</t>
  </si>
  <si>
    <t>Global Ministries (5101) 25%{Shaw, Tovar}</t>
  </si>
  <si>
    <t>Global Returnee Education (5102) 25%{Shaw, Tovar}</t>
  </si>
  <si>
    <t>Int'l Director Year 1 Seed Money (5103) 0%{Shaw, Tovar}</t>
  </si>
  <si>
    <t>Katrina Relief (5104) 0%{Shaw, Tovar}</t>
  </si>
  <si>
    <t>National Staff Conference (5105) 0%{Tovar}</t>
  </si>
  <si>
    <t>Student Website Design Costs (5106) 25%{Shaw, Tovar}</t>
  </si>
  <si>
    <t>Web Coordinator (5107) 25%{Shaw, Tovar}</t>
  </si>
  <si>
    <t>Memorial Fund (5108) 10%{Shaw, Tovar}</t>
  </si>
  <si>
    <t>Cumulus9 (5109) 25%{Shaw, Tovar}</t>
  </si>
  <si>
    <t>Memorial Fund - Elcho Redding (5112) 0% {Shaw, Tovar}</t>
  </si>
  <si>
    <t>Martha Peterson Memorial Fund (5113) 15%{Shaw, Tovar}</t>
  </si>
  <si>
    <t>Roelof Engelbrecht Memorial Fund (5114) 15%{Shaw, Tovar}</t>
  </si>
  <si>
    <t>Singapore Seminar (5115) 0%{Shaw, Tovar}</t>
  </si>
  <si>
    <t>Singapore Staff Conference (5116) 0%{Shaw, Tovar}</t>
  </si>
  <si>
    <t>Donor Database System (5117) 25%{Shaw, Tovar}</t>
  </si>
  <si>
    <t>Direct Mail Development (5118) 25%{Shaw, Tovar}</t>
  </si>
  <si>
    <t>Website Training Project (5119) 25%{Shaw, Tovar}</t>
  </si>
  <si>
    <t>Counseling/FLD Staff (5120) 0%{Shaw, Tovar}</t>
  </si>
  <si>
    <t>Specialized Training Project (5121) 25%{Shaw, Tovar}</t>
  </si>
  <si>
    <t>Princeton Video Work (5122) 25%{Shaw, Tovar}</t>
  </si>
  <si>
    <t>Rock the Nations 2004 (5123) 25%{Shaw, Tovar}</t>
  </si>
  <si>
    <t>2{Shaw, Tovar}</t>
  </si>
  <si>
    <t>China Ministries (5129) 25%{Shaw, Tovar}</t>
  </si>
  <si>
    <t>Nat Dir Fld Team Min (5130) 15%{Shaw, Tovar}</t>
  </si>
  <si>
    <t>Equip Initiatives (5132) 25%{Decker}</t>
  </si>
  <si>
    <t>Orientation/Training (5134) 0%{Decker}</t>
  </si>
  <si>
    <t>Training Conf Acct (5164) 0%{Shaw, Tovar}</t>
  </si>
  <si>
    <t>Leadership Training (5165) 25%{Shaw, Tovar}</t>
  </si>
  <si>
    <t>Nat'l Trng Acct Decker (5166) 0%{Decker}</t>
  </si>
  <si>
    <t>ESL/CSL Program (5200) 25%{Shaw, Tovar}</t>
  </si>
  <si>
    <t>Board of Trustees (5201) 0%{Shaw, Tovar}</t>
  </si>
  <si>
    <t>Benevolence Fund (5205) 0%{Shaw, Tovar}</t>
  </si>
  <si>
    <t>Outreach to Intl (5250) 0%{Shaw, Tovar}</t>
  </si>
  <si>
    <t>More Than a Carpenter (5265) 0%{Shaw, Tovar}</t>
  </si>
  <si>
    <t>Pacific Northwest (5269) {Shaw, Tovar}</t>
  </si>
  <si>
    <t>Personalysis (5281) LM Rest 15%{Shaw, Tovar}</t>
  </si>
  <si>
    <t>Phase 2 Video Proj (5288) 15%{Shaw, Tovar}</t>
  </si>
  <si>
    <t>Int'l Student Bible Study (5298) 25%{Shaw, Tovar}</t>
  </si>
  <si>
    <t>Prod Displays (5333) 0%{Shaw, Tovar}</t>
  </si>
  <si>
    <t>Humprey Fellows (5360) 0%{Shaw, Tovar}</t>
  </si>
  <si>
    <t>South Central Chinese Ministry (5419) 15%{Shaw, Tovar}</t>
  </si>
  <si>
    <t>Dan McCoy Memorial Fund (5507) 15%{Shaw, Tovar}</t>
  </si>
  <si>
    <t>Buffalo F/R Events (5804) 5%5% {Matheny}</t>
  </si>
  <si>
    <t>Buffalo, NY (5807) 15% {matheny}</t>
  </si>
  <si>
    <t>ST LOUIS (5833) 15% {Yabuki}</t>
  </si>
  <si>
    <t>St. Louis Activities (5835) 15% {Yabuki}</t>
  </si>
  <si>
    <t>Buffalo Student Conf (5860) 0% {matheny}</t>
  </si>
  <si>
    <t>Bozeman, MT City (5874) 15% {bevan}</t>
  </si>
  <si>
    <t>Buffalo Special (5897) 10% {matheny}</t>
  </si>
  <si>
    <t>ISI Home Office Building (7900) 25%{Shaw, Tovar}</t>
  </si>
  <si>
    <t>National Ministry Fund Intl (9250) 0%{Shaw, Tovar}</t>
  </si>
  <si>
    <t>DU Ministry Intl (9814) 15%{compton}</t>
  </si>
  <si>
    <t>Ft. Collins Student Scholarships (5202) 0%{Babcock}</t>
  </si>
  <si>
    <t>***ALL meals &gt;$75 require an itemized receipt: new recommendation from auditors.</t>
  </si>
  <si>
    <t>Godwin, Liz &amp; Paul (9383) 15%</t>
  </si>
  <si>
    <t>Cote, Jennifer (9628) 15%</t>
  </si>
  <si>
    <t>Anthony, Jeff (9394) 15%</t>
  </si>
  <si>
    <t>Koester, Emily (5313) 15%</t>
  </si>
  <si>
    <t>KOESTER EMILY</t>
  </si>
  <si>
    <t>Emily Koester</t>
  </si>
  <si>
    <t>Roth, Gregory (5327) 15%</t>
  </si>
  <si>
    <t>ROTH GREGORY</t>
  </si>
  <si>
    <t>Gregory Roth</t>
  </si>
  <si>
    <t>Keslte, Jeremy (5332) 15%</t>
  </si>
  <si>
    <t>KESTLE JEREMY</t>
  </si>
  <si>
    <t>AINSWORTH JACOB</t>
  </si>
  <si>
    <t>ANTONIUK JEANET</t>
  </si>
  <si>
    <t>JEANETTE ANTONIUK</t>
  </si>
  <si>
    <t>APGAR D S</t>
  </si>
  <si>
    <t>DON &amp; SUE APGAR</t>
  </si>
  <si>
    <t>ARANT J</t>
  </si>
  <si>
    <t>BASTIAN D P</t>
  </si>
  <si>
    <t>DOUG &amp; PATTY BASTIAN</t>
  </si>
  <si>
    <t>ANDREW BELL</t>
  </si>
  <si>
    <t>BERGMAN J  M</t>
  </si>
  <si>
    <t>JOYCE &amp; ROD BEVAN</t>
  </si>
  <si>
    <t>BLACKBURN ELEAN</t>
  </si>
  <si>
    <t>ELEANOR BLACKBURN</t>
  </si>
  <si>
    <t>BOYLE C T</t>
  </si>
  <si>
    <t>CAMOMILE J L</t>
  </si>
  <si>
    <t>JIM &amp; LISA CAMOMILE</t>
  </si>
  <si>
    <t>AMBER CARPENTER</t>
  </si>
  <si>
    <t>CLEMENTS</t>
  </si>
  <si>
    <t>JOHN CLEMENTS</t>
  </si>
  <si>
    <t>COTE JENNIFE</t>
  </si>
  <si>
    <t>DANIEL KIMBERLY</t>
  </si>
  <si>
    <t>J GORDON DECKER</t>
  </si>
  <si>
    <t>IAN and ERIN DOWNS</t>
  </si>
  <si>
    <t>DUMARESQ RACHEL</t>
  </si>
  <si>
    <t>RACHEL DUMARESQ</t>
  </si>
  <si>
    <t>RASHAE FINCK</t>
  </si>
  <si>
    <t>FLAMMINI, STEVE &amp; SANDRA</t>
  </si>
  <si>
    <t>FREESEN G S</t>
  </si>
  <si>
    <t>GUY &amp; SUE FREESEN</t>
  </si>
  <si>
    <t>John and Carolynn Frost</t>
  </si>
  <si>
    <t>GARRISON PAIGE</t>
  </si>
  <si>
    <t>Paige and Brady Garrison</t>
  </si>
  <si>
    <t>ED &amp; VICKI GERMANN</t>
  </si>
  <si>
    <t>GILPIN AMBER</t>
  </si>
  <si>
    <t>Amber Gilpin</t>
  </si>
  <si>
    <t>GODDARD J</t>
  </si>
  <si>
    <t>ELIZABETH &amp; PAUL GODWIN</t>
  </si>
  <si>
    <t>JANAE GUZMAN</t>
  </si>
  <si>
    <t>HADDOCK DE JES</t>
  </si>
  <si>
    <t>STEPHANIE HADDOCK DE JESUS</t>
  </si>
  <si>
    <t>DALE HALLIGAN</t>
  </si>
  <si>
    <t>HARMS, RANDELL</t>
  </si>
  <si>
    <t>RANDELL HARMS</t>
  </si>
  <si>
    <t>PAUL &amp; SUSAN HAYZLETT</t>
  </si>
  <si>
    <t>JAMIESON HERMAN</t>
  </si>
  <si>
    <t>LONNIE HOLBROOK</t>
  </si>
  <si>
    <t>NATASHA HOPE</t>
  </si>
  <si>
    <t>DERRAH &amp; PAM JACKSON</t>
  </si>
  <si>
    <t>JOHNSON G L</t>
  </si>
  <si>
    <t>GREG &amp; LIZ JOHNSON</t>
  </si>
  <si>
    <t>JEREMY KESTLE</t>
  </si>
  <si>
    <t>KILLION</t>
  </si>
  <si>
    <t>HOWARD &amp; DAPHNE KILLION</t>
  </si>
  <si>
    <t>LISA AND STEVE KINDERMANN</t>
  </si>
  <si>
    <t>PHYLLIS &amp; ABEL LAM</t>
  </si>
  <si>
    <t>LEZLIE LANGFORD</t>
  </si>
  <si>
    <t>LARSON D B</t>
  </si>
  <si>
    <t>LARSON RUTH</t>
  </si>
  <si>
    <t>LASHELLE</t>
  </si>
  <si>
    <t>BRETT LASHELLE</t>
  </si>
  <si>
    <t>LAWECKI P</t>
  </si>
  <si>
    <t>EVA LEE</t>
  </si>
  <si>
    <t>NANCY LEE PAUL</t>
  </si>
  <si>
    <t>LEWIS TAMMY</t>
  </si>
  <si>
    <t>TAMMY LEWIS</t>
  </si>
  <si>
    <t>JIANYONG LIANG</t>
  </si>
  <si>
    <t>LINDMAN</t>
  </si>
  <si>
    <t>CARROLL LINDMAN</t>
  </si>
  <si>
    <t>LINSKEY JAMES</t>
  </si>
  <si>
    <t>James Linskey</t>
  </si>
  <si>
    <t>MAC TK B</t>
  </si>
  <si>
    <t>THUONG KIEN &amp; ELIZABETH MAC</t>
  </si>
  <si>
    <t>MOHAMMAD MAHMOUDI</t>
  </si>
  <si>
    <t>AMY MAMMADOV</t>
  </si>
  <si>
    <t>MARTIN, ROGER</t>
  </si>
  <si>
    <t>ROGER MARTIN</t>
  </si>
  <si>
    <t>SAJID MASIH</t>
  </si>
  <si>
    <t>SCOTT &amp; KATHY MATHENY</t>
  </si>
  <si>
    <t>SUBHA MATHEW</t>
  </si>
  <si>
    <t>MCDOWELL AUST</t>
  </si>
  <si>
    <t>AUSTIN MCDOWELL</t>
  </si>
  <si>
    <t>MCFARLAND HOWAR</t>
  </si>
  <si>
    <t>HOWARD MCFARLAND</t>
  </si>
  <si>
    <t>SARAH MENGE</t>
  </si>
  <si>
    <t>MILLER R G</t>
  </si>
  <si>
    <t>JESSICA MILLS</t>
  </si>
  <si>
    <t>MILLS R B</t>
  </si>
  <si>
    <t>RON &amp; BETH MILLS</t>
  </si>
  <si>
    <t>MOTE lAUREN</t>
  </si>
  <si>
    <t>LAUREN MOTE</t>
  </si>
  <si>
    <t>WENDY MOYNIHAN</t>
  </si>
  <si>
    <t>MARC &amp; ELISE MURCHISON</t>
  </si>
  <si>
    <t>DANA NG</t>
  </si>
  <si>
    <t>PEARCE A S</t>
  </si>
  <si>
    <t>ANDREW &amp; SANDY PEARCE</t>
  </si>
  <si>
    <t>QUEK KELLY</t>
  </si>
  <si>
    <t>QUINN L K</t>
  </si>
  <si>
    <t>LYNNE OR KEVIN QUINN</t>
  </si>
  <si>
    <t>WILLIAM ROBERSON</t>
  </si>
  <si>
    <t>JENNIFER SAMSON</t>
  </si>
  <si>
    <t>ERIC &amp; ANGELA SEEVER</t>
  </si>
  <si>
    <t>SHELLING</t>
  </si>
  <si>
    <t>TED SHELLING</t>
  </si>
  <si>
    <t>SHIRK C L</t>
  </si>
  <si>
    <t>CARL &amp; LESLEY SHIRK</t>
  </si>
  <si>
    <t>SIGMAN T J</t>
  </si>
  <si>
    <t>TIMOTHY &amp; JULIE SIGMAN</t>
  </si>
  <si>
    <t>JAMES &amp; CHLOE SIMPSON</t>
  </si>
  <si>
    <t>SMITH D J</t>
  </si>
  <si>
    <t>DAN &amp; JAN SMITH</t>
  </si>
  <si>
    <t>MATTHEW AND HOLLY SMUCKER</t>
  </si>
  <si>
    <t>SNYDER JONATHAN</t>
  </si>
  <si>
    <t>JONATHAN SNYDER</t>
  </si>
  <si>
    <t>RON &amp; JUDY SPAULDING</t>
  </si>
  <si>
    <t>JAMES ALEX STARK</t>
  </si>
  <si>
    <t>STEERS J J</t>
  </si>
  <si>
    <t>STEINBORN BONNI</t>
  </si>
  <si>
    <t>BONNIE STEINBORN</t>
  </si>
  <si>
    <t>JOSHUA TIDD</t>
  </si>
  <si>
    <t>JEFFREY TOWNSEND</t>
  </si>
  <si>
    <t>TRAUTMAN</t>
  </si>
  <si>
    <t>CONNIE TRAUTMAN</t>
  </si>
  <si>
    <t>TRICE MARTIN</t>
  </si>
  <si>
    <t>MARTIN TRICE</t>
  </si>
  <si>
    <t>UBALDO D P</t>
  </si>
  <si>
    <t>DANIEL &amp; PAM UBALDO</t>
  </si>
  <si>
    <t>ED &amp; MARGREET VAN OUWERKERK</t>
  </si>
  <si>
    <t>MARY ANN VEST</t>
  </si>
  <si>
    <t>LISA VOTH</t>
  </si>
  <si>
    <t>WALDIE REBECCA</t>
  </si>
  <si>
    <t>REBECCA WALDIE</t>
  </si>
  <si>
    <t>WATSON L M</t>
  </si>
  <si>
    <t>LUKE &amp; MAUDIE WATSON</t>
  </si>
  <si>
    <t>WELCH AUDREY</t>
  </si>
  <si>
    <t>WILLIAMS DAVE Q</t>
  </si>
  <si>
    <t>BEN and RACHEL WILSON</t>
  </si>
  <si>
    <t>JOANNA WOODS</t>
  </si>
  <si>
    <t>YABUKI R L</t>
  </si>
  <si>
    <t>ROY &amp; ELIZABETH YABUKI</t>
  </si>
  <si>
    <t>SIMON &amp; BECKY ZEIGLER</t>
  </si>
  <si>
    <t>Submit Date</t>
  </si>
  <si>
    <t>Howard, Judith (5381) 15%</t>
  </si>
  <si>
    <t>reg</t>
  </si>
  <si>
    <t>HOWARD JUDITH</t>
  </si>
  <si>
    <t>Judith Howard</t>
  </si>
  <si>
    <t>Gilpin, Amber (5379) 15%</t>
  </si>
  <si>
    <t>Cherry, Doug (5354) 15%</t>
  </si>
  <si>
    <t>CHERRY DOUG</t>
  </si>
  <si>
    <t>dooug cherry</t>
  </si>
  <si>
    <t>Petrick, Chris (5389) 15%</t>
  </si>
  <si>
    <t>PETRICK CHRIS</t>
  </si>
  <si>
    <t>Chris petrick</t>
  </si>
  <si>
    <t xml:space="preserve">project code </t>
  </si>
  <si>
    <t>Portland City (9826) 15%</t>
  </si>
  <si>
    <t>Pearce, Andy (9136) 15%</t>
  </si>
  <si>
    <t>JOAN &amp; JIM LASCHE</t>
  </si>
  <si>
    <t>Gordy Decker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</si>
</sst>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"/>
    <numFmt numFmtId="166" formatCode="_(* #,##0_);_(* \(#,##0\);_(* &quot;-&quot;??_);_(@_)"/>
    <numFmt numFmtId="167" formatCode="[$-409]mmmm\-yy;@"/>
    <numFmt numFmtId="168" formatCode="mm/dd/yy;@"/>
    <numFmt numFmtId="169" formatCode="m/d/yy;@"/>
    <numFmt numFmtId="170" formatCode="mm\-yy"/>
    <numFmt numFmtId="171" formatCode="###"/>
    <numFmt numFmtId="172" formatCode="_(* #,##0.000_);_(* \(#,##0.000\);_(* &quot;-&quot;??_);_(@_)"/>
    <numFmt numFmtId="173" formatCode="m/d/yyyy;@"/>
    <numFmt numFmtId="174" formatCode="#,##0.0_);\(#,##0.0\)"/>
    <numFmt numFmtId="175" formatCode="0.0000"/>
    <numFmt numFmtId="176" formatCode="0_);\(0\)"/>
    <numFmt numFmtId="177" formatCode="[$-409]d\-mmm\-yy;@"/>
    <numFmt numFmtId="178" formatCode="[$-409]h:mm\ AM/PM;@"/>
  </numFmts>
  <fonts count="1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22"/>
      <name val="Lucida Handwriting"/>
      <family val="4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24"/>
      <name val="Blackadder ITC"/>
      <family val="5"/>
    </font>
    <font>
      <sz val="11"/>
      <name val="Calibri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name val="Arial"/>
      <family val="2"/>
    </font>
    <font>
      <sz val="22"/>
      <name val="Lucida Handwriting"/>
      <family val="4"/>
    </font>
    <font>
      <b/>
      <sz val="16"/>
      <name val="Arial"/>
      <family val="2"/>
    </font>
    <font>
      <b/>
      <sz val="6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theme="0"/>
      <name val="Arial"/>
      <family val="2"/>
    </font>
    <font>
      <sz val="7"/>
      <color theme="1" tint="0.499984740745262"/>
      <name val="Arial"/>
      <family val="2"/>
    </font>
    <font>
      <sz val="6"/>
      <color theme="1" tint="0.499984740745262"/>
      <name val="Arial"/>
      <family val="2"/>
    </font>
    <font>
      <sz val="12"/>
      <color rgb="FFFF0000"/>
      <name val="Arial"/>
      <family val="2"/>
    </font>
    <font>
      <b/>
      <sz val="17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92D050"/>
      <name val="Arial"/>
      <family val="2"/>
    </font>
    <font>
      <b/>
      <i/>
      <sz val="12"/>
      <color rgb="FFFF0000"/>
      <name val="Arial"/>
      <family val="2"/>
    </font>
    <font>
      <sz val="8"/>
      <color theme="1"/>
      <name val="Times New Roman"/>
      <family val="1"/>
    </font>
    <font>
      <sz val="10"/>
      <color rgb="FF0000FF"/>
      <name val="Book Antiqua"/>
      <family val="1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0"/>
      <color theme="0" tint="-0.14999847407452621"/>
      <name val="Arial"/>
      <family val="2"/>
    </font>
    <font>
      <sz val="6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7"/>
      <color rgb="FFFF00FF"/>
      <name val="Arial"/>
      <family val="2"/>
    </font>
    <font>
      <sz val="16"/>
      <color theme="1" tint="0.499984740745262"/>
      <name val="Arial"/>
      <family val="2"/>
    </font>
    <font>
      <sz val="18"/>
      <color theme="1" tint="0.499984740745262"/>
      <name val="Arial"/>
      <family val="2"/>
    </font>
    <font>
      <b/>
      <sz val="16"/>
      <color rgb="FFFF0000"/>
      <name val="Arial"/>
      <family val="2"/>
    </font>
    <font>
      <u val="singleAccounting"/>
      <sz val="8"/>
      <name val="Times New Roman"/>
      <family val="1"/>
    </font>
    <font>
      <u val="singleAccounting"/>
      <sz val="8"/>
      <name val="Book Antiqua"/>
      <family val="1"/>
    </font>
    <font>
      <u val="singleAccounting"/>
      <sz val="8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10"/>
      <name val="Book Antiqua"/>
      <family val="1"/>
    </font>
    <font>
      <u/>
      <sz val="9"/>
      <color theme="10"/>
      <name val="Arial"/>
      <family val="2"/>
    </font>
    <font>
      <u/>
      <sz val="11"/>
      <color theme="10"/>
      <name val="Arial"/>
      <family val="2"/>
    </font>
    <font>
      <b/>
      <sz val="12"/>
      <color rgb="FF52F737"/>
      <name val="Arial"/>
      <family val="2"/>
    </font>
    <font>
      <sz val="10"/>
      <color theme="0" tint="-0.34998626667073579"/>
      <name val="Arial"/>
      <family val="2"/>
    </font>
    <font>
      <sz val="11"/>
      <color theme="0"/>
      <name val="Arial"/>
      <family val="2"/>
    </font>
    <font>
      <b/>
      <i/>
      <sz val="12"/>
      <color theme="0" tint="-0.249977111117893"/>
      <name val="Arial"/>
      <family val="2"/>
    </font>
    <font>
      <b/>
      <sz val="11"/>
      <name val="Arial"/>
      <family val="2"/>
    </font>
    <font>
      <sz val="8"/>
      <color theme="3"/>
      <name val="Tahoma"/>
      <family val="2"/>
    </font>
    <font>
      <sz val="26"/>
      <color theme="0"/>
      <name val="Arial"/>
      <family val="2"/>
    </font>
    <font>
      <sz val="16"/>
      <color rgb="FFFF0000"/>
      <name val="Arial"/>
      <family val="2"/>
    </font>
    <font>
      <i/>
      <sz val="10"/>
      <color rgb="FFFF0000"/>
      <name val="Arial"/>
      <family val="2"/>
    </font>
    <font>
      <sz val="72"/>
      <color rgb="FF0070C0"/>
      <name val="Arial"/>
      <family val="2"/>
    </font>
    <font>
      <sz val="8"/>
      <color theme="0" tint="-0.14999847407452621"/>
      <name val="Arial"/>
      <family val="2"/>
    </font>
    <font>
      <sz val="10"/>
      <color theme="6" tint="0.79998168889431442"/>
      <name val="Arial"/>
      <family val="2"/>
    </font>
    <font>
      <sz val="12"/>
      <color theme="6" tint="0.79998168889431442"/>
      <name val="Arial"/>
      <family val="2"/>
    </font>
    <font>
      <sz val="14"/>
      <color theme="0" tint="-0.34998626667073579"/>
      <name val="Arial"/>
      <family val="2"/>
    </font>
    <font>
      <b/>
      <i/>
      <sz val="10"/>
      <color rgb="FFFF0000"/>
      <name val="Arial"/>
      <family val="2"/>
    </font>
    <font>
      <sz val="22"/>
      <color theme="0"/>
      <name val="Arial"/>
      <family val="2"/>
    </font>
    <font>
      <sz val="16"/>
      <color theme="9" tint="-0.249977111117893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sz val="18"/>
      <color rgb="FFFF0000"/>
      <name val="Arial"/>
      <family val="2"/>
    </font>
    <font>
      <sz val="8"/>
      <color rgb="FF00B050"/>
      <name val="Times New Roman"/>
      <family val="1"/>
    </font>
    <font>
      <u val="singleAccounting"/>
      <sz val="8"/>
      <name val="Times New Roman"/>
      <family val="1"/>
    </font>
    <font>
      <sz val="8"/>
      <name val="Tahoma"/>
      <family val="2"/>
    </font>
    <font>
      <sz val="8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D5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double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double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66F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0" tint="-0.14996795556505021"/>
      </bottom>
      <diagonal/>
    </border>
    <border>
      <left style="medium">
        <color indexed="64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3">
    <xf numFmtId="0" fontId="0" fillId="0" borderId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38" applyNumberFormat="0" applyAlignment="0" applyProtection="0"/>
    <xf numFmtId="0" fontId="40" fillId="31" borderId="39" applyNumberFormat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40" applyNumberFormat="0" applyFill="0" applyAlignment="0" applyProtection="0"/>
    <xf numFmtId="0" fontId="43" fillId="0" borderId="41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38" applyNumberFormat="0" applyAlignment="0" applyProtection="0"/>
    <xf numFmtId="0" fontId="45" fillId="0" borderId="43" applyNumberFormat="0" applyFill="0" applyAlignment="0" applyProtection="0"/>
    <xf numFmtId="0" fontId="46" fillId="34" borderId="0" applyNumberFormat="0" applyBorder="0" applyAlignment="0" applyProtection="0"/>
    <xf numFmtId="0" fontId="36" fillId="0" borderId="0"/>
    <xf numFmtId="0" fontId="36" fillId="35" borderId="44" applyNumberFormat="0" applyFont="0" applyAlignment="0" applyProtection="0"/>
    <xf numFmtId="0" fontId="47" fillId="30" borderId="45" applyNumberFormat="0" applyAlignment="0" applyProtection="0"/>
    <xf numFmtId="9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80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/>
    <xf numFmtId="0" fontId="7" fillId="0" borderId="3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2" borderId="7" xfId="0" applyFont="1" applyFill="1" applyBorder="1" applyAlignment="1">
      <alignment horizontal="center"/>
    </xf>
    <xf numFmtId="1" fontId="13" fillId="3" borderId="8" xfId="28" applyNumberFormat="1" applyFont="1" applyFill="1" applyBorder="1" applyAlignment="1">
      <alignment horizontal="center"/>
    </xf>
    <xf numFmtId="0" fontId="14" fillId="0" borderId="7" xfId="0" applyFont="1" applyBorder="1"/>
    <xf numFmtId="0" fontId="14" fillId="0" borderId="9" xfId="0" applyFont="1" applyBorder="1"/>
    <xf numFmtId="0" fontId="14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2" fontId="0" fillId="0" borderId="1" xfId="0" applyNumberFormat="1" applyBorder="1" applyProtection="1">
      <protection locked="0"/>
    </xf>
    <xf numFmtId="0" fontId="14" fillId="0" borderId="13" xfId="0" applyFont="1" applyBorder="1"/>
    <xf numFmtId="0" fontId="14" fillId="0" borderId="14" xfId="0" applyFont="1" applyBorder="1"/>
    <xf numFmtId="0" fontId="8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  <xf numFmtId="0" fontId="18" fillId="0" borderId="0" xfId="0" applyFont="1"/>
    <xf numFmtId="43" fontId="0" fillId="0" borderId="1" xfId="28" applyFont="1" applyBorder="1"/>
    <xf numFmtId="43" fontId="0" fillId="0" borderId="0" xfId="28" applyFont="1"/>
    <xf numFmtId="43" fontId="0" fillId="0" borderId="2" xfId="28" applyFont="1" applyBorder="1"/>
    <xf numFmtId="43" fontId="3" fillId="0" borderId="1" xfId="28" applyFont="1" applyBorder="1"/>
    <xf numFmtId="43" fontId="9" fillId="0" borderId="0" xfId="28" applyFont="1" applyBorder="1"/>
    <xf numFmtId="43" fontId="0" fillId="0" borderId="0" xfId="28" applyFont="1" applyBorder="1"/>
    <xf numFmtId="43" fontId="0" fillId="0" borderId="1" xfId="28" applyFont="1" applyBorder="1" applyProtection="1"/>
    <xf numFmtId="43" fontId="0" fillId="0" borderId="0" xfId="28" applyFont="1" applyProtection="1">
      <protection locked="0"/>
    </xf>
    <xf numFmtId="43" fontId="0" fillId="0" borderId="0" xfId="28" applyFont="1" applyProtection="1"/>
    <xf numFmtId="43" fontId="0" fillId="0" borderId="0" xfId="28" applyFont="1" applyBorder="1" applyProtection="1"/>
    <xf numFmtId="0" fontId="0" fillId="0" borderId="2" xfId="0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43" fontId="7" fillId="0" borderId="1" xfId="28" applyFont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39" fontId="0" fillId="0" borderId="1" xfId="28" applyNumberFormat="1" applyFont="1" applyBorder="1" applyProtection="1">
      <protection locked="0"/>
    </xf>
    <xf numFmtId="43" fontId="3" fillId="0" borderId="0" xfId="28" applyFont="1" applyBorder="1" applyProtection="1"/>
    <xf numFmtId="39" fontId="0" fillId="0" borderId="3" xfId="28" applyNumberFormat="1" applyFont="1" applyBorder="1"/>
    <xf numFmtId="39" fontId="0" fillId="0" borderId="0" xfId="28" applyNumberFormat="1" applyFont="1"/>
    <xf numFmtId="165" fontId="0" fillId="0" borderId="15" xfId="0" applyNumberFormat="1" applyBorder="1" applyProtection="1">
      <protection locked="0"/>
    </xf>
    <xf numFmtId="0" fontId="18" fillId="0" borderId="0" xfId="0" applyFont="1" applyProtection="1"/>
    <xf numFmtId="43" fontId="9" fillId="0" borderId="0" xfId="28" applyFont="1" applyBorder="1" applyProtection="1"/>
    <xf numFmtId="2" fontId="0" fillId="0" borderId="0" xfId="28" applyNumberFormat="1" applyFont="1" applyBorder="1" applyProtection="1"/>
    <xf numFmtId="2" fontId="18" fillId="0" borderId="0" xfId="0" applyNumberFormat="1" applyFont="1" applyProtection="1"/>
    <xf numFmtId="2" fontId="0" fillId="0" borderId="0" xfId="28" applyNumberFormat="1" applyFont="1" applyProtection="1"/>
    <xf numFmtId="2" fontId="9" fillId="0" borderId="0" xfId="28" applyNumberFormat="1" applyFont="1" applyBorder="1" applyProtection="1"/>
    <xf numFmtId="43" fontId="0" fillId="0" borderId="0" xfId="28" applyFont="1" applyBorder="1" applyAlignment="1" applyProtection="1">
      <alignment horizontal="right"/>
    </xf>
    <xf numFmtId="43" fontId="5" fillId="0" borderId="0" xfId="28" applyFont="1" applyProtection="1"/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 textRotation="90"/>
    </xf>
    <xf numFmtId="0" fontId="9" fillId="0" borderId="0" xfId="0" applyFont="1" applyProtection="1">
      <protection locked="0"/>
    </xf>
    <xf numFmtId="165" fontId="9" fillId="0" borderId="1" xfId="0" applyNumberFormat="1" applyFont="1" applyBorder="1" applyProtection="1">
      <protection locked="0"/>
    </xf>
    <xf numFmtId="39" fontId="9" fillId="0" borderId="1" xfId="28" applyNumberFormat="1" applyFont="1" applyBorder="1" applyProtection="1">
      <protection locked="0"/>
    </xf>
    <xf numFmtId="43" fontId="9" fillId="0" borderId="0" xfId="28" applyFont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16" fillId="0" borderId="0" xfId="0" applyFont="1" applyFill="1" applyAlignment="1" applyProtection="1">
      <alignment horizontal="center"/>
    </xf>
    <xf numFmtId="43" fontId="0" fillId="0" borderId="0" xfId="28" applyFont="1" applyAlignment="1">
      <alignment horizontal="center"/>
    </xf>
    <xf numFmtId="39" fontId="0" fillId="0" borderId="1" xfId="28" applyNumberFormat="1" applyFont="1" applyBorder="1" applyAlignment="1" applyProtection="1">
      <alignment horizontal="center"/>
      <protection locked="0"/>
    </xf>
    <xf numFmtId="166" fontId="0" fillId="0" borderId="2" xfId="28" applyNumberFormat="1" applyFont="1" applyBorder="1" applyAlignment="1" applyProtection="1"/>
    <xf numFmtId="166" fontId="0" fillId="0" borderId="1" xfId="28" applyNumberFormat="1" applyFont="1" applyBorder="1" applyProtection="1"/>
    <xf numFmtId="166" fontId="0" fillId="0" borderId="0" xfId="28" applyNumberFormat="1" applyFont="1" applyProtection="1"/>
    <xf numFmtId="0" fontId="0" fillId="0" borderId="0" xfId="0" applyAlignment="1"/>
    <xf numFmtId="0" fontId="3" fillId="0" borderId="0" xfId="0" applyFont="1" applyFill="1" applyBorder="1" applyProtection="1"/>
    <xf numFmtId="0" fontId="20" fillId="0" borderId="0" xfId="0" applyFont="1" applyBorder="1" applyAlignment="1">
      <alignment horizontal="center" vertical="top"/>
    </xf>
    <xf numFmtId="0" fontId="10" fillId="4" borderId="1" xfId="0" applyFont="1" applyFill="1" applyBorder="1" applyProtection="1">
      <protection locked="0"/>
    </xf>
    <xf numFmtId="0" fontId="12" fillId="2" borderId="16" xfId="0" applyFont="1" applyFill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Protection="1"/>
    <xf numFmtId="0" fontId="23" fillId="0" borderId="0" xfId="0" applyFont="1"/>
    <xf numFmtId="0" fontId="0" fillId="0" borderId="18" xfId="0" applyBorder="1"/>
    <xf numFmtId="0" fontId="3" fillId="0" borderId="0" xfId="0" applyFont="1" applyAlignment="1"/>
    <xf numFmtId="0" fontId="9" fillId="0" borderId="0" xfId="0" applyFont="1" applyAlignment="1"/>
    <xf numFmtId="43" fontId="0" fillId="0" borderId="0" xfId="28" applyFont="1" applyAlignment="1" applyProtection="1"/>
    <xf numFmtId="0" fontId="50" fillId="0" borderId="0" xfId="0" applyFont="1"/>
    <xf numFmtId="0" fontId="51" fillId="36" borderId="24" xfId="0" applyFont="1" applyFill="1" applyBorder="1" applyAlignment="1" applyProtection="1">
      <alignment horizontal="center" vertical="center" wrapText="1"/>
    </xf>
    <xf numFmtId="0" fontId="7" fillId="36" borderId="0" xfId="0" applyFont="1" applyFill="1" applyProtection="1"/>
    <xf numFmtId="0" fontId="52" fillId="36" borderId="25" xfId="0" applyFont="1" applyFill="1" applyBorder="1" applyAlignment="1" applyProtection="1">
      <alignment horizontal="left" vertical="center" wrapText="1"/>
    </xf>
    <xf numFmtId="0" fontId="7" fillId="36" borderId="11" xfId="0" applyFont="1" applyFill="1" applyBorder="1"/>
    <xf numFmtId="0" fontId="7" fillId="36" borderId="26" xfId="0" applyFont="1" applyFill="1" applyBorder="1"/>
    <xf numFmtId="0" fontId="7" fillId="36" borderId="26" xfId="0" applyFont="1" applyFill="1" applyBorder="1" applyAlignment="1">
      <alignment horizontal="center"/>
    </xf>
    <xf numFmtId="0" fontId="0" fillId="36" borderId="0" xfId="0" applyFill="1"/>
    <xf numFmtId="0" fontId="53" fillId="0" borderId="0" xfId="0" applyFont="1" applyAlignment="1">
      <alignment horizontal="center"/>
    </xf>
    <xf numFmtId="168" fontId="7" fillId="0" borderId="0" xfId="0" applyNumberFormat="1" applyFont="1" applyAlignment="1" applyProtection="1">
      <alignment horizontal="center"/>
      <protection locked="0"/>
    </xf>
    <xf numFmtId="168" fontId="21" fillId="0" borderId="3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14" fontId="9" fillId="0" borderId="0" xfId="0" quotePrefix="1" applyNumberFormat="1" applyFont="1"/>
    <xf numFmtId="0" fontId="56" fillId="0" borderId="0" xfId="0" applyFont="1" applyProtection="1"/>
    <xf numFmtId="0" fontId="0" fillId="0" borderId="2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1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43" fontId="0" fillId="0" borderId="3" xfId="28" applyFont="1" applyBorder="1"/>
    <xf numFmtId="0" fontId="8" fillId="0" borderId="3" xfId="0" applyFont="1" applyBorder="1" applyAlignment="1">
      <alignment wrapText="1"/>
    </xf>
    <xf numFmtId="0" fontId="8" fillId="0" borderId="27" xfId="0" applyFont="1" applyBorder="1" applyAlignment="1" applyProtection="1">
      <alignment vertical="top" wrapText="1"/>
    </xf>
    <xf numFmtId="0" fontId="58" fillId="0" borderId="0" xfId="72" applyFont="1" applyAlignment="1">
      <alignment horizontal="left" vertical="top" wrapText="1"/>
    </xf>
    <xf numFmtId="0" fontId="8" fillId="0" borderId="0" xfId="0" applyFont="1"/>
    <xf numFmtId="0" fontId="1" fillId="0" borderId="0" xfId="0" applyFont="1"/>
    <xf numFmtId="170" fontId="0" fillId="0" borderId="0" xfId="0" applyNumberFormat="1"/>
    <xf numFmtId="0" fontId="1" fillId="0" borderId="0" xfId="0" applyFont="1" applyBorder="1"/>
    <xf numFmtId="0" fontId="29" fillId="0" borderId="0" xfId="0" applyFont="1"/>
    <xf numFmtId="0" fontId="59" fillId="0" borderId="0" xfId="0" applyFont="1"/>
    <xf numFmtId="0" fontId="30" fillId="0" borderId="0" xfId="0" applyFont="1"/>
    <xf numFmtId="0" fontId="31" fillId="0" borderId="0" xfId="0" applyFont="1"/>
    <xf numFmtId="0" fontId="50" fillId="0" borderId="0" xfId="0" applyFont="1" applyBorder="1"/>
    <xf numFmtId="167" fontId="7" fillId="4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0" fillId="0" borderId="47" xfId="0" applyFont="1" applyBorder="1" applyProtection="1">
      <protection locked="0"/>
    </xf>
    <xf numFmtId="0" fontId="60" fillId="0" borderId="0" xfId="0" applyFont="1" applyBorder="1"/>
    <xf numFmtId="0" fontId="60" fillId="0" borderId="0" xfId="0" applyFont="1"/>
    <xf numFmtId="14" fontId="60" fillId="0" borderId="0" xfId="0" applyNumberFormat="1" applyFont="1"/>
    <xf numFmtId="0" fontId="60" fillId="0" borderId="0" xfId="0" applyFont="1" applyAlignment="1">
      <alignment horizontal="right"/>
    </xf>
    <xf numFmtId="0" fontId="60" fillId="0" borderId="0" xfId="0" applyFont="1" applyProtection="1"/>
    <xf numFmtId="166" fontId="50" fillId="0" borderId="0" xfId="28" applyNumberFormat="1" applyFont="1"/>
    <xf numFmtId="14" fontId="50" fillId="0" borderId="0" xfId="0" applyNumberFormat="1" applyFont="1"/>
    <xf numFmtId="0" fontId="50" fillId="0" borderId="0" xfId="0" applyFont="1" applyAlignment="1">
      <alignment horizontal="right"/>
    </xf>
    <xf numFmtId="172" fontId="50" fillId="0" borderId="0" xfId="28" applyNumberFormat="1" applyFont="1"/>
    <xf numFmtId="0" fontId="50" fillId="0" borderId="0" xfId="0" applyFont="1" applyAlignment="1">
      <alignment horizontal="centerContinuous"/>
    </xf>
    <xf numFmtId="1" fontId="6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3" fontId="50" fillId="0" borderId="0" xfId="28" applyFont="1" applyBorder="1" applyProtection="1"/>
    <xf numFmtId="2" fontId="50" fillId="0" borderId="0" xfId="28" applyNumberFormat="1" applyFont="1" applyBorder="1" applyProtection="1"/>
    <xf numFmtId="43" fontId="50" fillId="0" borderId="0" xfId="28" applyFont="1" applyProtection="1"/>
    <xf numFmtId="43" fontId="7" fillId="0" borderId="1" xfId="28" applyFont="1" applyBorder="1" applyAlignment="1" applyProtection="1">
      <alignment horizontal="center"/>
    </xf>
    <xf numFmtId="43" fontId="0" fillId="0" borderId="2" xfId="28" applyFont="1" applyBorder="1" applyProtection="1"/>
    <xf numFmtId="166" fontId="0" fillId="0" borderId="3" xfId="28" applyNumberFormat="1" applyFont="1" applyBorder="1"/>
    <xf numFmtId="2" fontId="1" fillId="0" borderId="0" xfId="0" applyNumberFormat="1" applyFont="1" applyBorder="1" applyProtection="1">
      <protection locked="0"/>
    </xf>
    <xf numFmtId="43" fontId="1" fillId="0" borderId="0" xfId="28" applyFont="1" applyBorder="1" applyProtection="1">
      <protection locked="0"/>
    </xf>
    <xf numFmtId="1" fontId="63" fillId="0" borderId="0" xfId="0" applyNumberFormat="1" applyFont="1" applyAlignment="1">
      <alignment horizontal="center"/>
    </xf>
    <xf numFmtId="0" fontId="64" fillId="0" borderId="0" xfId="0" applyFont="1"/>
    <xf numFmtId="2" fontId="19" fillId="0" borderId="0" xfId="0" applyNumberFormat="1" applyFont="1" applyBorder="1" applyProtection="1"/>
    <xf numFmtId="0" fontId="65" fillId="0" borderId="0" xfId="0" applyFont="1"/>
    <xf numFmtId="0" fontId="64" fillId="0" borderId="48" xfId="0" applyFont="1" applyBorder="1"/>
    <xf numFmtId="43" fontId="64" fillId="0" borderId="48" xfId="28" applyFont="1" applyBorder="1" applyAlignment="1"/>
    <xf numFmtId="0" fontId="64" fillId="0" borderId="48" xfId="0" applyFont="1" applyBorder="1" applyProtection="1">
      <protection locked="0"/>
    </xf>
    <xf numFmtId="39" fontId="64" fillId="0" borderId="48" xfId="0" applyNumberFormat="1" applyFont="1" applyBorder="1" applyProtection="1">
      <protection locked="0"/>
    </xf>
    <xf numFmtId="0" fontId="64" fillId="0" borderId="0" xfId="0" applyFont="1" applyBorder="1" applyProtection="1"/>
    <xf numFmtId="0" fontId="64" fillId="0" borderId="0" xfId="0" applyFont="1" applyProtection="1"/>
    <xf numFmtId="2" fontId="64" fillId="0" borderId="0" xfId="0" applyNumberFormat="1" applyFont="1" applyBorder="1" applyProtection="1"/>
    <xf numFmtId="1" fontId="64" fillId="0" borderId="0" xfId="0" applyNumberFormat="1" applyFont="1" applyBorder="1" applyProtection="1"/>
    <xf numFmtId="2" fontId="64" fillId="0" borderId="0" xfId="0" applyNumberFormat="1" applyFont="1" applyProtection="1"/>
    <xf numFmtId="2" fontId="66" fillId="0" borderId="0" xfId="0" applyNumberFormat="1" applyFont="1" applyBorder="1" applyProtection="1"/>
    <xf numFmtId="43" fontId="64" fillId="0" borderId="48" xfId="28" applyFont="1" applyBorder="1" applyProtection="1">
      <protection locked="0"/>
    </xf>
    <xf numFmtId="40" fontId="64" fillId="0" borderId="0" xfId="28" applyNumberFormat="1" applyFont="1"/>
    <xf numFmtId="166" fontId="64" fillId="0" borderId="48" xfId="28" applyNumberFormat="1" applyFont="1" applyBorder="1" applyProtection="1">
      <protection locked="0"/>
    </xf>
    <xf numFmtId="166" fontId="64" fillId="0" borderId="0" xfId="0" applyNumberFormat="1" applyFont="1"/>
    <xf numFmtId="49" fontId="10" fillId="37" borderId="1" xfId="0" applyNumberFormat="1" applyFont="1" applyFill="1" applyBorder="1" applyAlignment="1" applyProtection="1">
      <alignment horizontal="center"/>
      <protection locked="0"/>
    </xf>
    <xf numFmtId="0" fontId="64" fillId="0" borderId="20" xfId="0" applyFont="1" applyBorder="1" applyAlignment="1" applyProtection="1">
      <alignment vertical="top"/>
      <protection locked="0"/>
    </xf>
    <xf numFmtId="16" fontId="0" fillId="0" borderId="0" xfId="0" applyNumberFormat="1"/>
    <xf numFmtId="0" fontId="64" fillId="0" borderId="49" xfId="0" applyFont="1" applyBorder="1" applyAlignment="1">
      <alignment wrapText="1"/>
    </xf>
    <xf numFmtId="43" fontId="64" fillId="0" borderId="50" xfId="28" applyFont="1" applyBorder="1" applyAlignment="1"/>
    <xf numFmtId="43" fontId="64" fillId="0" borderId="51" xfId="28" applyFont="1" applyBorder="1" applyAlignment="1"/>
    <xf numFmtId="43" fontId="64" fillId="0" borderId="52" xfId="28" applyFont="1" applyBorder="1" applyAlignment="1"/>
    <xf numFmtId="0" fontId="64" fillId="0" borderId="53" xfId="0" applyFont="1" applyBorder="1" applyAlignment="1">
      <alignment wrapText="1"/>
    </xf>
    <xf numFmtId="0" fontId="64" fillId="0" borderId="50" xfId="0" applyFont="1" applyBorder="1" applyProtection="1">
      <protection locked="0"/>
    </xf>
    <xf numFmtId="0" fontId="64" fillId="0" borderId="47" xfId="0" applyFont="1" applyBorder="1"/>
    <xf numFmtId="0" fontId="0" fillId="0" borderId="47" xfId="0" applyBorder="1"/>
    <xf numFmtId="0" fontId="50" fillId="0" borderId="47" xfId="0" applyFont="1" applyBorder="1"/>
    <xf numFmtId="166" fontId="64" fillId="0" borderId="50" xfId="28" applyNumberFormat="1" applyFont="1" applyBorder="1" applyProtection="1">
      <protection locked="0"/>
    </xf>
    <xf numFmtId="0" fontId="64" fillId="0" borderId="50" xfId="0" applyFont="1" applyBorder="1"/>
    <xf numFmtId="0" fontId="64" fillId="0" borderId="54" xfId="0" applyFont="1" applyBorder="1"/>
    <xf numFmtId="0" fontId="64" fillId="0" borderId="47" xfId="0" applyFont="1" applyBorder="1" applyProtection="1">
      <protection locked="0"/>
    </xf>
    <xf numFmtId="0" fontId="6" fillId="0" borderId="29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43" fontId="64" fillId="0" borderId="49" xfId="28" applyFont="1" applyBorder="1" applyProtection="1">
      <protection locked="0"/>
    </xf>
    <xf numFmtId="43" fontId="64" fillId="0" borderId="56" xfId="28" applyFont="1" applyBorder="1"/>
    <xf numFmtId="43" fontId="64" fillId="0" borderId="57" xfId="28" applyFont="1" applyBorder="1"/>
    <xf numFmtId="43" fontId="64" fillId="0" borderId="58" xfId="28" applyFont="1" applyBorder="1" applyProtection="1">
      <protection locked="0"/>
    </xf>
    <xf numFmtId="0" fontId="50" fillId="0" borderId="57" xfId="0" applyFont="1" applyBorder="1"/>
    <xf numFmtId="0" fontId="50" fillId="0" borderId="59" xfId="0" applyFont="1" applyBorder="1"/>
    <xf numFmtId="0" fontId="70" fillId="0" borderId="0" xfId="0" applyFont="1" applyProtection="1"/>
    <xf numFmtId="43" fontId="64" fillId="0" borderId="50" xfId="28" applyFont="1" applyBorder="1" applyProtection="1">
      <protection locked="0"/>
    </xf>
    <xf numFmtId="0" fontId="64" fillId="0" borderId="60" xfId="0" applyFont="1" applyBorder="1"/>
    <xf numFmtId="0" fontId="64" fillId="0" borderId="55" xfId="0" applyFont="1" applyFill="1" applyBorder="1"/>
    <xf numFmtId="0" fontId="71" fillId="0" borderId="0" xfId="0" applyFont="1" applyAlignment="1">
      <alignment horizontal="left"/>
    </xf>
    <xf numFmtId="1" fontId="0" fillId="0" borderId="0" xfId="0" applyNumberFormat="1"/>
    <xf numFmtId="1" fontId="72" fillId="0" borderId="0" xfId="0" applyNumberFormat="1" applyFont="1"/>
    <xf numFmtId="175" fontId="0" fillId="0" borderId="0" xfId="0" applyNumberFormat="1"/>
    <xf numFmtId="0" fontId="10" fillId="37" borderId="0" xfId="0" applyFont="1" applyFill="1" applyBorder="1" applyAlignment="1" applyProtection="1">
      <alignment horizontal="center"/>
    </xf>
    <xf numFmtId="0" fontId="1" fillId="0" borderId="61" xfId="0" applyFont="1" applyBorder="1" applyAlignment="1"/>
    <xf numFmtId="0" fontId="1" fillId="0" borderId="0" xfId="0" applyFont="1" applyFill="1" applyBorder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176" fontId="10" fillId="4" borderId="1" xfId="28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Border="1"/>
    <xf numFmtId="0" fontId="7" fillId="0" borderId="1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68" fillId="0" borderId="0" xfId="0" applyFont="1" applyAlignment="1" applyProtection="1">
      <protection locked="0"/>
    </xf>
    <xf numFmtId="43" fontId="50" fillId="0" borderId="0" xfId="28" applyFont="1"/>
    <xf numFmtId="43" fontId="1" fillId="0" borderId="2" xfId="28" applyFont="1" applyBorder="1" applyAlignment="1">
      <alignment horizontal="left"/>
    </xf>
    <xf numFmtId="43" fontId="1" fillId="0" borderId="2" xfId="28" applyFont="1" applyBorder="1" applyAlignment="1" applyProtection="1">
      <alignment horizontal="left"/>
    </xf>
    <xf numFmtId="43" fontId="50" fillId="0" borderId="0" xfId="28" applyFont="1" applyAlignment="1">
      <alignment horizontal="left"/>
    </xf>
    <xf numFmtId="43" fontId="3" fillId="0" borderId="1" xfId="28" applyFont="1" applyBorder="1" applyAlignment="1">
      <alignment horizontal="left"/>
    </xf>
    <xf numFmtId="0" fontId="50" fillId="0" borderId="0" xfId="0" applyFont="1" applyProtection="1"/>
    <xf numFmtId="43" fontId="7" fillId="0" borderId="0" xfId="28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9" fontId="73" fillId="0" borderId="0" xfId="28" applyNumberFormat="1" applyFont="1" applyBorder="1"/>
    <xf numFmtId="43" fontId="3" fillId="0" borderId="3" xfId="28" applyFont="1" applyBorder="1" applyAlignment="1">
      <alignment horizontal="right"/>
    </xf>
    <xf numFmtId="43" fontId="0" fillId="0" borderId="3" xfId="28" applyFont="1" applyBorder="1" applyAlignment="1">
      <alignment horizontal="left"/>
    </xf>
    <xf numFmtId="0" fontId="10" fillId="37" borderId="0" xfId="0" applyFont="1" applyFill="1" applyProtection="1">
      <protection locked="0"/>
    </xf>
    <xf numFmtId="0" fontId="10" fillId="37" borderId="0" xfId="0" applyFont="1" applyFill="1" applyAlignment="1" applyProtection="1">
      <alignment vertical="top"/>
      <protection locked="0"/>
    </xf>
    <xf numFmtId="0" fontId="78" fillId="0" borderId="0" xfId="72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vertical="center"/>
    </xf>
    <xf numFmtId="0" fontId="81" fillId="0" borderId="0" xfId="72" applyFont="1" applyFill="1" applyBorder="1" applyAlignment="1">
      <alignment horizontal="left" vertical="top" wrapText="1"/>
    </xf>
    <xf numFmtId="0" fontId="81" fillId="0" borderId="0" xfId="72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85" fillId="0" borderId="0" xfId="79" applyFont="1" applyFill="1" applyAlignment="1" applyProtection="1">
      <alignment vertical="center"/>
    </xf>
    <xf numFmtId="0" fontId="84" fillId="0" borderId="0" xfId="79" applyAlignment="1" applyProtection="1"/>
    <xf numFmtId="0" fontId="88" fillId="0" borderId="20" xfId="0" applyFont="1" applyBorder="1" applyAlignment="1" applyProtection="1">
      <alignment horizontal="center" vertical="top"/>
    </xf>
    <xf numFmtId="43" fontId="3" fillId="0" borderId="1" xfId="28" applyFont="1" applyBorder="1" applyProtection="1"/>
    <xf numFmtId="43" fontId="64" fillId="0" borderId="0" xfId="0" applyNumberFormat="1" applyFont="1"/>
    <xf numFmtId="0" fontId="81" fillId="40" borderId="0" xfId="72" applyFont="1" applyFill="1" applyBorder="1" applyAlignment="1">
      <alignment horizontal="left" vertical="top" wrapText="1"/>
    </xf>
    <xf numFmtId="0" fontId="1" fillId="40" borderId="0" xfId="0" applyFont="1" applyFill="1" applyBorder="1" applyAlignment="1">
      <alignment horizontal="left"/>
    </xf>
    <xf numFmtId="0" fontId="1" fillId="40" borderId="0" xfId="0" applyFont="1" applyFill="1" applyBorder="1"/>
    <xf numFmtId="0" fontId="67" fillId="0" borderId="0" xfId="0" applyFont="1" applyBorder="1"/>
    <xf numFmtId="1" fontId="13" fillId="3" borderId="71" xfId="28" applyNumberFormat="1" applyFont="1" applyFill="1" applyBorder="1" applyAlignment="1">
      <alignment horizontal="center"/>
    </xf>
    <xf numFmtId="0" fontId="53" fillId="38" borderId="72" xfId="0" applyFont="1" applyFill="1" applyBorder="1" applyProtection="1">
      <protection locked="0"/>
    </xf>
    <xf numFmtId="0" fontId="67" fillId="36" borderId="0" xfId="0" applyFont="1" applyFill="1" applyBorder="1"/>
    <xf numFmtId="0" fontId="67" fillId="0" borderId="0" xfId="0" applyFont="1" applyBorder="1" applyProtection="1"/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/>
    </xf>
    <xf numFmtId="14" fontId="50" fillId="0" borderId="0" xfId="0" applyNumberFormat="1" applyFont="1" applyAlignment="1">
      <alignment horizontal="centerContinuous"/>
    </xf>
    <xf numFmtId="0" fontId="6" fillId="0" borderId="0" xfId="0" applyFont="1" applyFill="1" applyAlignment="1" applyProtection="1">
      <alignment horizontal="left"/>
    </xf>
    <xf numFmtId="0" fontId="90" fillId="0" borderId="0" xfId="0" applyFont="1" applyProtection="1"/>
    <xf numFmtId="0" fontId="67" fillId="0" borderId="0" xfId="0" applyFont="1" applyAlignment="1" applyProtection="1">
      <alignment horizontal="center"/>
      <protection locked="0"/>
    </xf>
    <xf numFmtId="0" fontId="6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39" fontId="9" fillId="0" borderId="0" xfId="28" applyNumberFormat="1" applyFont="1" applyBorder="1" applyProtection="1">
      <protection locked="0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 wrapText="1"/>
    </xf>
    <xf numFmtId="168" fontId="3" fillId="0" borderId="3" xfId="28" applyNumberFormat="1" applyFont="1" applyBorder="1" applyAlignment="1" applyProtection="1">
      <alignment horizontal="center"/>
      <protection locked="0"/>
    </xf>
    <xf numFmtId="41" fontId="0" fillId="0" borderId="3" xfId="28" applyNumberFormat="1" applyFont="1" applyBorder="1"/>
    <xf numFmtId="177" fontId="16" fillId="37" borderId="0" xfId="0" applyNumberFormat="1" applyFont="1" applyFill="1" applyAlignment="1" applyProtection="1">
      <alignment horizontal="center"/>
      <protection locked="0"/>
    </xf>
    <xf numFmtId="43" fontId="7" fillId="0" borderId="3" xfId="28" applyFont="1" applyBorder="1" applyAlignment="1">
      <alignment horizontal="center"/>
    </xf>
    <xf numFmtId="2" fontId="67" fillId="0" borderId="0" xfId="0" applyNumberFormat="1" applyFont="1" applyProtection="1"/>
    <xf numFmtId="43" fontId="1" fillId="0" borderId="1" xfId="28" applyFont="1" applyBorder="1" applyAlignment="1">
      <alignment horizontal="center"/>
    </xf>
    <xf numFmtId="0" fontId="3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61" fillId="0" borderId="0" xfId="0" applyFont="1" applyFill="1" applyProtection="1"/>
    <xf numFmtId="43" fontId="68" fillId="0" borderId="0" xfId="28" applyFont="1"/>
    <xf numFmtId="43" fontId="68" fillId="0" borderId="0" xfId="28" applyFont="1" applyAlignment="1">
      <alignment horizontal="right"/>
    </xf>
    <xf numFmtId="0" fontId="68" fillId="0" borderId="0" xfId="0" applyFont="1"/>
    <xf numFmtId="0" fontId="7" fillId="0" borderId="0" xfId="0" applyFont="1" applyAlignment="1">
      <alignment horizontal="center" wrapText="1"/>
    </xf>
    <xf numFmtId="0" fontId="1" fillId="0" borderId="2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7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0" fillId="4" borderId="74" xfId="0" applyFill="1" applyBorder="1" applyAlignment="1" applyProtection="1">
      <alignment wrapText="1"/>
      <protection locked="0"/>
    </xf>
    <xf numFmtId="0" fontId="0" fillId="4" borderId="75" xfId="0" applyFill="1" applyBorder="1" applyAlignment="1" applyProtection="1">
      <alignment wrapText="1"/>
      <protection locked="0"/>
    </xf>
    <xf numFmtId="0" fontId="0" fillId="4" borderId="76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wrapText="1"/>
    </xf>
    <xf numFmtId="0" fontId="69" fillId="37" borderId="0" xfId="0" applyFont="1" applyFill="1" applyProtection="1">
      <protection locked="0"/>
    </xf>
    <xf numFmtId="37" fontId="0" fillId="0" borderId="3" xfId="28" applyNumberFormat="1" applyFont="1" applyBorder="1" applyProtection="1">
      <protection locked="0"/>
    </xf>
    <xf numFmtId="0" fontId="53" fillId="0" borderId="0" xfId="0" applyFont="1" applyFill="1" applyBorder="1" applyProtection="1"/>
    <xf numFmtId="0" fontId="68" fillId="0" borderId="0" xfId="0" applyFont="1" applyProtection="1"/>
    <xf numFmtId="2" fontId="68" fillId="0" borderId="0" xfId="0" applyNumberFormat="1" applyFont="1" applyFill="1" applyAlignment="1" applyProtection="1">
      <alignment horizontal="right"/>
    </xf>
    <xf numFmtId="168" fontId="68" fillId="0" borderId="0" xfId="0" applyNumberFormat="1" applyFont="1" applyFill="1" applyAlignment="1" applyProtection="1">
      <alignment horizontal="center"/>
    </xf>
    <xf numFmtId="169" fontId="68" fillId="0" borderId="0" xfId="0" applyNumberFormat="1" applyFont="1" applyFill="1" applyAlignment="1" applyProtection="1">
      <alignment horizontal="right"/>
    </xf>
    <xf numFmtId="14" fontId="94" fillId="0" borderId="0" xfId="0" applyNumberFormat="1" applyFont="1" applyFill="1" applyAlignment="1" applyProtection="1">
      <alignment horizontal="right"/>
    </xf>
    <xf numFmtId="14" fontId="68" fillId="0" borderId="0" xfId="0" applyNumberFormat="1" applyFont="1" applyFill="1" applyAlignment="1" applyProtection="1">
      <alignment horizontal="right"/>
    </xf>
    <xf numFmtId="15" fontId="1" fillId="0" borderId="0" xfId="0" applyNumberFormat="1" applyFont="1" applyAlignment="1">
      <alignment horizontal="center" wrapText="1"/>
    </xf>
    <xf numFmtId="0" fontId="64" fillId="0" borderId="62" xfId="0" applyFont="1" applyBorder="1"/>
    <xf numFmtId="0" fontId="64" fillId="0" borderId="91" xfId="0" applyFont="1" applyBorder="1"/>
    <xf numFmtId="0" fontId="64" fillId="0" borderId="92" xfId="0" applyFont="1" applyBorder="1"/>
    <xf numFmtId="0" fontId="64" fillId="0" borderId="93" xfId="0" applyFont="1" applyBorder="1"/>
    <xf numFmtId="0" fontId="64" fillId="0" borderId="63" xfId="0" applyFont="1" applyBorder="1"/>
    <xf numFmtId="0" fontId="64" fillId="0" borderId="94" xfId="0" applyFont="1" applyBorder="1"/>
    <xf numFmtId="0" fontId="87" fillId="0" borderId="0" xfId="0" applyFont="1"/>
    <xf numFmtId="0" fontId="0" fillId="0" borderId="95" xfId="0" applyBorder="1"/>
    <xf numFmtId="0" fontId="8" fillId="0" borderId="0" xfId="0" applyFont="1" applyBorder="1"/>
    <xf numFmtId="16" fontId="1" fillId="0" borderId="95" xfId="0" applyNumberFormat="1" applyFont="1" applyBorder="1" applyAlignment="1">
      <alignment wrapText="1"/>
    </xf>
    <xf numFmtId="14" fontId="9" fillId="0" borderId="0" xfId="0" quotePrefix="1" applyNumberFormat="1" applyFont="1" applyBorder="1" applyAlignment="1">
      <alignment horizontal="center"/>
    </xf>
    <xf numFmtId="14" fontId="9" fillId="0" borderId="0" xfId="0" quotePrefix="1" applyNumberFormat="1" applyFont="1" applyBorder="1"/>
    <xf numFmtId="16" fontId="8" fillId="0" borderId="0" xfId="0" applyNumberFormat="1" applyFont="1" applyBorder="1"/>
    <xf numFmtId="0" fontId="87" fillId="0" borderId="0" xfId="0" applyFont="1" applyBorder="1"/>
    <xf numFmtId="0" fontId="87" fillId="36" borderId="0" xfId="0" applyFont="1" applyFill="1" applyBorder="1"/>
    <xf numFmtId="0" fontId="87" fillId="0" borderId="0" xfId="0" applyFont="1" applyBorder="1" applyProtection="1"/>
    <xf numFmtId="17" fontId="55" fillId="0" borderId="0" xfId="0" applyNumberFormat="1" applyFont="1" applyFill="1" applyAlignment="1" applyProtection="1"/>
    <xf numFmtId="0" fontId="7" fillId="41" borderId="2" xfId="0" applyFont="1" applyFill="1" applyBorder="1" applyAlignment="1" applyProtection="1">
      <alignment horizontal="center"/>
      <protection locked="0"/>
    </xf>
    <xf numFmtId="0" fontId="58" fillId="0" borderId="0" xfId="72" applyNumberFormat="1" applyFont="1" applyFill="1" applyAlignment="1">
      <alignment horizontal="left" vertical="top" wrapText="1"/>
    </xf>
    <xf numFmtId="0" fontId="68" fillId="0" borderId="0" xfId="0" applyFont="1" applyBorder="1"/>
    <xf numFmtId="0" fontId="68" fillId="36" borderId="0" xfId="0" applyFont="1" applyFill="1" applyBorder="1"/>
    <xf numFmtId="0" fontId="68" fillId="0" borderId="0" xfId="0" applyFont="1" applyBorder="1" applyProtection="1"/>
    <xf numFmtId="169" fontId="0" fillId="0" borderId="0" xfId="0" applyNumberFormat="1"/>
    <xf numFmtId="177" fontId="1" fillId="37" borderId="0" xfId="0" applyNumberFormat="1" applyFont="1" applyFill="1" applyProtection="1">
      <protection locked="0"/>
    </xf>
    <xf numFmtId="0" fontId="73" fillId="0" borderId="25" xfId="0" applyFont="1" applyBorder="1" applyAlignment="1">
      <alignment horizontal="center" vertical="center"/>
    </xf>
    <xf numFmtId="0" fontId="50" fillId="0" borderId="0" xfId="0" applyFont="1" applyBorder="1" applyAlignment="1"/>
    <xf numFmtId="0" fontId="68" fillId="0" borderId="0" xfId="0" applyFont="1" applyBorder="1" applyAlignment="1"/>
    <xf numFmtId="0" fontId="68" fillId="0" borderId="73" xfId="0" applyFont="1" applyBorder="1"/>
    <xf numFmtId="0" fontId="68" fillId="0" borderId="0" xfId="0" applyFont="1" applyBorder="1" applyAlignment="1">
      <alignment horizontal="right"/>
    </xf>
    <xf numFmtId="14" fontId="68" fillId="0" borderId="0" xfId="0" applyNumberFormat="1" applyFont="1" applyBorder="1" applyAlignment="1"/>
    <xf numFmtId="43" fontId="87" fillId="0" borderId="0" xfId="28" applyFont="1" applyBorder="1"/>
    <xf numFmtId="0" fontId="68" fillId="0" borderId="0" xfId="0" quotePrefix="1" applyFont="1" applyBorder="1"/>
    <xf numFmtId="0" fontId="68" fillId="0" borderId="0" xfId="0" applyFont="1" applyBorder="1" applyAlignment="1">
      <alignment horizontal="center"/>
    </xf>
    <xf numFmtId="43" fontId="68" fillId="0" borderId="0" xfId="28" applyFont="1" applyBorder="1" applyAlignment="1"/>
    <xf numFmtId="0" fontId="78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82" fillId="0" borderId="0" xfId="0" applyNumberFormat="1" applyFont="1" applyFill="1" applyBorder="1" applyAlignment="1" applyProtection="1">
      <alignment horizontal="left" wrapText="1"/>
    </xf>
    <xf numFmtId="0" fontId="81" fillId="0" borderId="0" xfId="0" applyNumberFormat="1" applyFont="1" applyFill="1" applyBorder="1" applyAlignment="1" applyProtection="1">
      <alignment horizontal="left" vertical="top" wrapText="1"/>
    </xf>
    <xf numFmtId="0" fontId="1" fillId="42" borderId="0" xfId="0" applyFont="1" applyFill="1" applyBorder="1"/>
    <xf numFmtId="0" fontId="1" fillId="42" borderId="27" xfId="0" applyFont="1" applyFill="1" applyBorder="1"/>
    <xf numFmtId="0" fontId="1" fillId="42" borderId="18" xfId="0" applyFont="1" applyFill="1" applyBorder="1"/>
    <xf numFmtId="0" fontId="58" fillId="42" borderId="0" xfId="72" applyFont="1" applyFill="1" applyAlignment="1">
      <alignment horizontal="left" vertical="top"/>
    </xf>
    <xf numFmtId="0" fontId="1" fillId="42" borderId="20" xfId="0" applyFont="1" applyFill="1" applyBorder="1"/>
    <xf numFmtId="168" fontId="68" fillId="0" borderId="0" xfId="0" applyNumberFormat="1" applyFont="1" applyBorder="1" applyAlignment="1" applyProtection="1">
      <alignment horizontal="center"/>
      <protection locked="0"/>
    </xf>
    <xf numFmtId="0" fontId="68" fillId="0" borderId="3" xfId="0" applyFont="1" applyBorder="1"/>
    <xf numFmtId="17" fontId="64" fillId="0" borderId="0" xfId="0" applyNumberFormat="1" applyFont="1" applyAlignment="1">
      <alignment horizontal="left"/>
    </xf>
    <xf numFmtId="14" fontId="6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/>
    <xf numFmtId="43" fontId="0" fillId="0" borderId="0" xfId="28" applyFont="1" applyFill="1" applyProtection="1"/>
    <xf numFmtId="0" fontId="18" fillId="0" borderId="0" xfId="0" applyFont="1" applyFill="1" applyProtection="1"/>
    <xf numFmtId="0" fontId="64" fillId="0" borderId="0" xfId="0" applyFont="1" applyFill="1"/>
    <xf numFmtId="0" fontId="1" fillId="44" borderId="18" xfId="0" applyFont="1" applyFill="1" applyBorder="1"/>
    <xf numFmtId="0" fontId="1" fillId="44" borderId="0" xfId="0" applyFont="1" applyFill="1" applyBorder="1"/>
    <xf numFmtId="0" fontId="1" fillId="44" borderId="19" xfId="0" applyFont="1" applyFill="1" applyBorder="1"/>
    <xf numFmtId="0" fontId="1" fillId="44" borderId="27" xfId="0" applyFont="1" applyFill="1" applyBorder="1"/>
    <xf numFmtId="0" fontId="1" fillId="44" borderId="17" xfId="0" applyFont="1" applyFill="1" applyBorder="1"/>
    <xf numFmtId="0" fontId="1" fillId="44" borderId="20" xfId="0" applyFont="1" applyFill="1" applyBorder="1"/>
    <xf numFmtId="0" fontId="1" fillId="44" borderId="1" xfId="0" applyFont="1" applyFill="1" applyBorder="1"/>
    <xf numFmtId="0" fontId="1" fillId="44" borderId="21" xfId="0" applyFont="1" applyFill="1" applyBorder="1"/>
    <xf numFmtId="0" fontId="0" fillId="44" borderId="27" xfId="0" applyFill="1" applyBorder="1"/>
    <xf numFmtId="0" fontId="0" fillId="44" borderId="15" xfId="0" applyFill="1" applyBorder="1"/>
    <xf numFmtId="0" fontId="0" fillId="44" borderId="17" xfId="0" applyFill="1" applyBorder="1"/>
    <xf numFmtId="0" fontId="0" fillId="44" borderId="18" xfId="0" applyFill="1" applyBorder="1"/>
    <xf numFmtId="0" fontId="0" fillId="44" borderId="0" xfId="0" applyFill="1" applyBorder="1"/>
    <xf numFmtId="0" fontId="0" fillId="44" borderId="19" xfId="0" applyFill="1" applyBorder="1"/>
    <xf numFmtId="0" fontId="0" fillId="44" borderId="20" xfId="0" applyFill="1" applyBorder="1"/>
    <xf numFmtId="0" fontId="0" fillId="44" borderId="1" xfId="0" applyFill="1" applyBorder="1"/>
    <xf numFmtId="0" fontId="0" fillId="44" borderId="21" xfId="0" applyFill="1" applyBorder="1"/>
    <xf numFmtId="0" fontId="0" fillId="44" borderId="22" xfId="0" applyFill="1" applyBorder="1"/>
    <xf numFmtId="0" fontId="0" fillId="44" borderId="23" xfId="0" applyFill="1" applyBorder="1"/>
    <xf numFmtId="0" fontId="1" fillId="0" borderId="0" xfId="0" applyFont="1" applyFill="1" applyBorder="1" applyAlignment="1">
      <alignment wrapText="1"/>
    </xf>
    <xf numFmtId="0" fontId="3" fillId="44" borderId="27" xfId="0" applyFont="1" applyFill="1" applyBorder="1" applyAlignment="1"/>
    <xf numFmtId="0" fontId="9" fillId="44" borderId="15" xfId="0" applyFont="1" applyFill="1" applyBorder="1" applyAlignment="1"/>
    <xf numFmtId="0" fontId="0" fillId="44" borderId="17" xfId="0" applyFill="1" applyBorder="1" applyAlignment="1"/>
    <xf numFmtId="0" fontId="0" fillId="44" borderId="27" xfId="0" applyFill="1" applyBorder="1" applyAlignment="1"/>
    <xf numFmtId="0" fontId="3" fillId="44" borderId="20" xfId="0" applyFont="1" applyFill="1" applyBorder="1" applyAlignment="1"/>
    <xf numFmtId="0" fontId="9" fillId="44" borderId="1" xfId="0" applyFont="1" applyFill="1" applyBorder="1" applyAlignment="1"/>
    <xf numFmtId="0" fontId="0" fillId="44" borderId="21" xfId="0" applyFill="1" applyBorder="1" applyAlignment="1"/>
    <xf numFmtId="0" fontId="0" fillId="44" borderId="20" xfId="0" applyFill="1" applyBorder="1" applyAlignment="1"/>
    <xf numFmtId="0" fontId="64" fillId="0" borderId="99" xfId="0" applyFont="1" applyBorder="1"/>
    <xf numFmtId="0" fontId="1" fillId="0" borderId="0" xfId="0" applyFont="1" applyAlignment="1">
      <alignment horizontal="right"/>
    </xf>
    <xf numFmtId="0" fontId="87" fillId="0" borderId="52" xfId="0" applyFont="1" applyBorder="1"/>
    <xf numFmtId="0" fontId="87" fillId="0" borderId="104" xfId="0" applyFont="1" applyBorder="1"/>
    <xf numFmtId="43" fontId="1" fillId="0" borderId="1" xfId="28" applyFont="1" applyBorder="1"/>
    <xf numFmtId="166" fontId="64" fillId="0" borderId="0" xfId="28" applyNumberFormat="1" applyFont="1" applyFill="1" applyBorder="1" applyProtection="1"/>
    <xf numFmtId="166" fontId="64" fillId="0" borderId="0" xfId="28" applyNumberFormat="1" applyFont="1" applyFill="1" applyProtection="1"/>
    <xf numFmtId="0" fontId="64" fillId="0" borderId="68" xfId="0" applyFont="1" applyBorder="1"/>
    <xf numFmtId="166" fontId="64" fillId="0" borderId="99" xfId="28" applyNumberFormat="1" applyFont="1" applyFill="1" applyBorder="1" applyProtection="1"/>
    <xf numFmtId="166" fontId="64" fillId="0" borderId="47" xfId="28" applyNumberFormat="1" applyFont="1" applyFill="1" applyBorder="1" applyProtection="1"/>
    <xf numFmtId="0" fontId="64" fillId="0" borderId="47" xfId="0" applyFont="1" applyBorder="1" applyProtection="1"/>
    <xf numFmtId="0" fontId="64" fillId="0" borderId="69" xfId="0" applyFont="1" applyBorder="1"/>
    <xf numFmtId="0" fontId="64" fillId="0" borderId="100" xfId="0" applyFont="1" applyBorder="1"/>
    <xf numFmtId="0" fontId="64" fillId="0" borderId="47" xfId="0" applyFont="1" applyFill="1" applyBorder="1"/>
    <xf numFmtId="0" fontId="64" fillId="0" borderId="68" xfId="0" applyFont="1" applyBorder="1" applyProtection="1">
      <protection locked="0"/>
    </xf>
    <xf numFmtId="166" fontId="64" fillId="0" borderId="20" xfId="28" applyNumberFormat="1" applyFont="1" applyFill="1" applyBorder="1" applyProtection="1"/>
    <xf numFmtId="0" fontId="64" fillId="0" borderId="1" xfId="0" applyFont="1" applyBorder="1"/>
    <xf numFmtId="0" fontId="64" fillId="0" borderId="21" xfId="0" applyFont="1" applyBorder="1"/>
    <xf numFmtId="0" fontId="64" fillId="0" borderId="20" xfId="0" applyFont="1" applyBorder="1"/>
    <xf numFmtId="0" fontId="64" fillId="0" borderId="2" xfId="0" applyFont="1" applyBorder="1" applyAlignment="1">
      <alignment horizontal="center"/>
    </xf>
    <xf numFmtId="0" fontId="64" fillId="0" borderId="0" xfId="0" applyFont="1" applyBorder="1" applyAlignment="1" applyProtection="1">
      <alignment horizontal="center"/>
    </xf>
    <xf numFmtId="0" fontId="64" fillId="0" borderId="0" xfId="0" applyFont="1" applyBorder="1" applyAlignment="1">
      <alignment horizontal="center"/>
    </xf>
    <xf numFmtId="43" fontId="64" fillId="45" borderId="0" xfId="28" applyFont="1" applyFill="1" applyBorder="1" applyProtection="1"/>
    <xf numFmtId="43" fontId="64" fillId="45" borderId="0" xfId="28" applyFont="1" applyFill="1" applyProtection="1"/>
    <xf numFmtId="43" fontId="64" fillId="45" borderId="48" xfId="28" applyFont="1" applyFill="1" applyBorder="1" applyAlignment="1"/>
    <xf numFmtId="0" fontId="64" fillId="45" borderId="48" xfId="0" applyFont="1" applyFill="1" applyBorder="1"/>
    <xf numFmtId="0" fontId="64" fillId="45" borderId="50" xfId="0" applyFont="1" applyFill="1" applyBorder="1"/>
    <xf numFmtId="0" fontId="64" fillId="45" borderId="48" xfId="0" applyFont="1" applyFill="1" applyBorder="1" applyProtection="1">
      <protection locked="0"/>
    </xf>
    <xf numFmtId="166" fontId="64" fillId="45" borderId="50" xfId="28" applyNumberFormat="1" applyFont="1" applyFill="1" applyBorder="1" applyProtection="1">
      <protection locked="0"/>
    </xf>
    <xf numFmtId="39" fontId="64" fillId="45" borderId="48" xfId="0" applyNumberFormat="1" applyFont="1" applyFill="1" applyBorder="1" applyProtection="1">
      <protection locked="0"/>
    </xf>
    <xf numFmtId="0" fontId="64" fillId="45" borderId="0" xfId="0" applyFont="1" applyFill="1"/>
    <xf numFmtId="0" fontId="97" fillId="37" borderId="105" xfId="0" applyFont="1" applyFill="1" applyBorder="1" applyProtection="1">
      <protection locked="0"/>
    </xf>
    <xf numFmtId="0" fontId="98" fillId="37" borderId="105" xfId="0" applyFont="1" applyFill="1" applyBorder="1" applyProtection="1">
      <protection locked="0"/>
    </xf>
    <xf numFmtId="0" fontId="0" fillId="0" borderId="0" xfId="0" applyFill="1" applyBorder="1"/>
    <xf numFmtId="14" fontId="50" fillId="0" borderId="0" xfId="0" applyNumberFormat="1" applyFont="1" applyBorder="1"/>
    <xf numFmtId="172" fontId="64" fillId="0" borderId="0" xfId="28" applyNumberFormat="1" applyFont="1"/>
    <xf numFmtId="14" fontId="64" fillId="0" borderId="0" xfId="28" applyNumberFormat="1" applyFont="1" applyFill="1"/>
    <xf numFmtId="0" fontId="87" fillId="0" borderId="0" xfId="0" quotePrefix="1" applyFont="1" applyBorder="1"/>
    <xf numFmtId="0" fontId="99" fillId="0" borderId="0" xfId="0" applyFont="1" applyBorder="1"/>
    <xf numFmtId="0" fontId="87" fillId="0" borderId="0" xfId="0" applyFont="1" applyFill="1" applyBorder="1"/>
    <xf numFmtId="0" fontId="87" fillId="0" borderId="61" xfId="0" applyFont="1" applyBorder="1" applyAlignment="1"/>
    <xf numFmtId="169" fontId="68" fillId="0" borderId="3" xfId="0" applyNumberFormat="1" applyFont="1" applyFill="1" applyBorder="1" applyAlignment="1" applyProtection="1">
      <alignment horizontal="right"/>
    </xf>
    <xf numFmtId="0" fontId="68" fillId="0" borderId="3" xfId="0" applyFont="1" applyBorder="1" applyAlignment="1">
      <alignment horizontal="right"/>
    </xf>
    <xf numFmtId="164" fontId="68" fillId="0" borderId="3" xfId="0" applyNumberFormat="1" applyFont="1" applyBorder="1"/>
    <xf numFmtId="168" fontId="6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79" xfId="0" applyFont="1" applyBorder="1" applyAlignment="1">
      <alignment horizontal="left" wrapText="1"/>
    </xf>
    <xf numFmtId="17" fontId="89" fillId="0" borderId="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" fillId="0" borderId="77" xfId="0" applyFont="1" applyBorder="1" applyAlignment="1">
      <alignment horizontal="left"/>
    </xf>
    <xf numFmtId="0" fontId="17" fillId="0" borderId="0" xfId="0" applyFont="1" applyAlignment="1"/>
    <xf numFmtId="0" fontId="1" fillId="0" borderId="0" xfId="0" applyFont="1" applyAlignment="1"/>
    <xf numFmtId="0" fontId="77" fillId="0" borderId="0" xfId="0" applyFont="1" applyAlignment="1">
      <alignment wrapText="1"/>
    </xf>
    <xf numFmtId="171" fontId="92" fillId="0" borderId="13" xfId="0" applyNumberFormat="1" applyFont="1" applyFill="1" applyBorder="1" applyAlignment="1"/>
    <xf numFmtId="171" fontId="92" fillId="0" borderId="0" xfId="0" applyNumberFormat="1" applyFont="1" applyFill="1" applyBorder="1" applyAlignment="1"/>
    <xf numFmtId="0" fontId="6" fillId="0" borderId="106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1" fontId="13" fillId="3" borderId="107" xfId="28" applyNumberFormat="1" applyFont="1" applyFill="1" applyBorder="1" applyAlignment="1">
      <alignment horizontal="center"/>
    </xf>
    <xf numFmtId="0" fontId="67" fillId="0" borderId="0" xfId="0" applyFont="1"/>
    <xf numFmtId="0" fontId="67" fillId="0" borderId="0" xfId="0" applyFont="1" applyFill="1"/>
    <xf numFmtId="0" fontId="0" fillId="0" borderId="17" xfId="0" applyBorder="1"/>
    <xf numFmtId="0" fontId="0" fillId="0" borderId="19" xfId="0" applyBorder="1"/>
    <xf numFmtId="0" fontId="67" fillId="0" borderId="18" xfId="0" applyFont="1" applyBorder="1"/>
    <xf numFmtId="0" fontId="67" fillId="0" borderId="20" xfId="0" applyFont="1" applyBorder="1"/>
    <xf numFmtId="0" fontId="67" fillId="0" borderId="1" xfId="0" applyFont="1" applyBorder="1"/>
    <xf numFmtId="0" fontId="0" fillId="0" borderId="21" xfId="0" applyBorder="1"/>
    <xf numFmtId="0" fontId="67" fillId="0" borderId="27" xfId="0" applyFont="1" applyBorder="1"/>
    <xf numFmtId="0" fontId="67" fillId="0" borderId="15" xfId="0" applyFont="1" applyBorder="1"/>
    <xf numFmtId="0" fontId="67" fillId="0" borderId="17" xfId="0" applyFont="1" applyFill="1" applyBorder="1"/>
    <xf numFmtId="0" fontId="67" fillId="0" borderId="19" xfId="0" applyFont="1" applyBorder="1"/>
    <xf numFmtId="0" fontId="67" fillId="0" borderId="21" xfId="0" applyFont="1" applyBorder="1"/>
    <xf numFmtId="0" fontId="67" fillId="0" borderId="15" xfId="0" applyFont="1" applyFill="1" applyBorder="1"/>
    <xf numFmtId="0" fontId="67" fillId="0" borderId="17" xfId="0" applyFont="1" applyBorder="1"/>
    <xf numFmtId="0" fontId="9" fillId="0" borderId="17" xfId="0" applyFont="1" applyBorder="1"/>
    <xf numFmtId="0" fontId="0" fillId="0" borderId="19" xfId="0" applyFill="1" applyBorder="1"/>
    <xf numFmtId="0" fontId="67" fillId="0" borderId="27" xfId="0" applyFont="1" applyFill="1" applyBorder="1" applyAlignment="1"/>
    <xf numFmtId="0" fontId="67" fillId="0" borderId="15" xfId="0" applyFont="1" applyFill="1" applyBorder="1" applyAlignment="1"/>
    <xf numFmtId="0" fontId="0" fillId="0" borderId="21" xfId="0" applyFill="1" applyBorder="1"/>
    <xf numFmtId="0" fontId="67" fillId="0" borderId="18" xfId="0" applyFont="1" applyFill="1" applyBorder="1"/>
    <xf numFmtId="0" fontId="84" fillId="0" borderId="0" xfId="79" applyFill="1" applyAlignment="1" applyProtection="1">
      <alignment vertical="center"/>
      <protection locked="0"/>
    </xf>
    <xf numFmtId="166" fontId="50" fillId="0" borderId="0" xfId="28" applyNumberFormat="1" applyFont="1" applyBorder="1" applyProtection="1"/>
    <xf numFmtId="0" fontId="0" fillId="44" borderId="21" xfId="0" applyFill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06" fillId="0" borderId="0" xfId="72" applyNumberFormat="1" applyFont="1" applyAlignment="1">
      <alignment horizontal="left" vertical="top" wrapText="1"/>
    </xf>
    <xf numFmtId="0" fontId="106" fillId="0" borderId="0" xfId="72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106" fillId="0" borderId="0" xfId="72" applyFont="1" applyAlignment="1">
      <alignment horizontal="left" vertical="top" wrapText="1"/>
    </xf>
    <xf numFmtId="0" fontId="61" fillId="0" borderId="0" xfId="0" applyFont="1" applyFill="1" applyBorder="1"/>
    <xf numFmtId="0" fontId="106" fillId="0" borderId="0" xfId="72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44" borderId="17" xfId="0" applyFill="1" applyBorder="1" applyAlignment="1">
      <alignment horizontal="left"/>
    </xf>
    <xf numFmtId="0" fontId="0" fillId="44" borderId="19" xfId="0" applyFill="1" applyBorder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168" fontId="0" fillId="0" borderId="1" xfId="0" applyNumberFormat="1" applyBorder="1" applyAlignment="1" applyProtection="1">
      <alignment horizontal="left"/>
      <protection locked="0"/>
    </xf>
    <xf numFmtId="43" fontId="0" fillId="0" borderId="1" xfId="28" applyFont="1" applyBorder="1" applyAlignment="1" applyProtection="1">
      <alignment horizontal="left"/>
      <protection locked="0"/>
    </xf>
    <xf numFmtId="166" fontId="0" fillId="0" borderId="1" xfId="28" applyNumberFormat="1" applyFont="1" applyBorder="1" applyAlignment="1" applyProtection="1">
      <alignment horizontal="left"/>
      <protection locked="0"/>
    </xf>
    <xf numFmtId="43" fontId="9" fillId="0" borderId="1" xfId="28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68" fontId="7" fillId="0" borderId="3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 wrapText="1"/>
      <protection locked="0"/>
    </xf>
    <xf numFmtId="43" fontId="7" fillId="0" borderId="3" xfId="28" applyFont="1" applyBorder="1" applyAlignment="1" applyProtection="1">
      <alignment horizontal="left"/>
      <protection locked="0"/>
    </xf>
    <xf numFmtId="168" fontId="0" fillId="0" borderId="1" xfId="0" applyNumberFormat="1" applyBorder="1" applyAlignment="1" applyProtection="1">
      <protection locked="0"/>
    </xf>
    <xf numFmtId="43" fontId="0" fillId="0" borderId="1" xfId="28" applyFont="1" applyBorder="1" applyAlignment="1" applyProtection="1">
      <protection locked="0"/>
    </xf>
    <xf numFmtId="0" fontId="107" fillId="42" borderId="0" xfId="0" applyNumberFormat="1" applyFont="1" applyFill="1" applyBorder="1" applyAlignment="1" applyProtection="1">
      <alignment horizontal="left" wrapText="1"/>
    </xf>
    <xf numFmtId="0" fontId="107" fillId="42" borderId="0" xfId="0" applyNumberFormat="1" applyFont="1" applyFill="1" applyBorder="1" applyAlignment="1" applyProtection="1">
      <alignment horizontal="left"/>
    </xf>
    <xf numFmtId="0" fontId="0" fillId="42" borderId="0" xfId="0" applyNumberFormat="1" applyFont="1" applyFill="1" applyBorder="1" applyAlignment="1" applyProtection="1">
      <alignment horizontal="left" wrapText="1"/>
    </xf>
    <xf numFmtId="0" fontId="0" fillId="42" borderId="0" xfId="0" applyFill="1"/>
    <xf numFmtId="0" fontId="0" fillId="42" borderId="0" xfId="0" applyNumberFormat="1" applyFont="1" applyFill="1" applyBorder="1" applyAlignment="1" applyProtection="1">
      <alignment horizontal="left"/>
    </xf>
    <xf numFmtId="0" fontId="108" fillId="42" borderId="0" xfId="0" applyNumberFormat="1" applyFont="1" applyFill="1" applyBorder="1" applyAlignment="1" applyProtection="1">
      <alignment horizontal="left" wrapText="1"/>
    </xf>
    <xf numFmtId="0" fontId="109" fillId="42" borderId="0" xfId="0" applyNumberFormat="1" applyFont="1" applyFill="1" applyBorder="1" applyAlignment="1" applyProtection="1">
      <alignment horizontal="left" vertical="top"/>
    </xf>
    <xf numFmtId="0" fontId="109" fillId="42" borderId="0" xfId="0" applyNumberFormat="1" applyFont="1" applyFill="1" applyBorder="1" applyAlignment="1" applyProtection="1">
      <alignment horizontal="left" vertical="top" wrapText="1"/>
    </xf>
    <xf numFmtId="0" fontId="81" fillId="42" borderId="0" xfId="0" applyNumberFormat="1" applyFont="1" applyFill="1" applyBorder="1" applyAlignment="1" applyProtection="1">
      <alignment horizontal="left" vertical="top"/>
    </xf>
    <xf numFmtId="0" fontId="81" fillId="42" borderId="0" xfId="0" applyNumberFormat="1" applyFont="1" applyFill="1" applyBorder="1" applyAlignment="1" applyProtection="1">
      <alignment horizontal="left" vertical="top" wrapText="1"/>
    </xf>
    <xf numFmtId="0" fontId="0" fillId="37" borderId="27" xfId="0" applyFill="1" applyBorder="1" applyAlignment="1" applyProtection="1">
      <alignment horizontal="center" wrapText="1"/>
      <protection locked="0"/>
    </xf>
    <xf numFmtId="0" fontId="0" fillId="37" borderId="15" xfId="0" applyFill="1" applyBorder="1" applyAlignment="1" applyProtection="1">
      <alignment horizontal="center" wrapText="1"/>
      <protection locked="0"/>
    </xf>
    <xf numFmtId="0" fontId="0" fillId="37" borderId="17" xfId="0" applyFill="1" applyBorder="1" applyAlignment="1" applyProtection="1">
      <alignment horizontal="center" wrapText="1"/>
      <protection locked="0"/>
    </xf>
    <xf numFmtId="0" fontId="0" fillId="37" borderId="18" xfId="0" applyFill="1" applyBorder="1" applyAlignment="1" applyProtection="1">
      <alignment horizontal="center" wrapText="1"/>
      <protection locked="0"/>
    </xf>
    <xf numFmtId="0" fontId="0" fillId="37" borderId="0" xfId="0" applyFill="1" applyBorder="1" applyAlignment="1" applyProtection="1">
      <alignment horizontal="center" wrapText="1"/>
      <protection locked="0"/>
    </xf>
    <xf numFmtId="0" fontId="0" fillId="37" borderId="19" xfId="0" applyFill="1" applyBorder="1" applyAlignment="1" applyProtection="1">
      <alignment horizontal="center" wrapText="1"/>
      <protection locked="0"/>
    </xf>
    <xf numFmtId="0" fontId="0" fillId="37" borderId="20" xfId="0" applyFill="1" applyBorder="1" applyAlignment="1" applyProtection="1">
      <alignment horizontal="center" wrapText="1"/>
      <protection locked="0"/>
    </xf>
    <xf numFmtId="0" fontId="0" fillId="37" borderId="1" xfId="0" applyFill="1" applyBorder="1" applyAlignment="1" applyProtection="1">
      <alignment horizontal="center" wrapText="1"/>
      <protection locked="0"/>
    </xf>
    <xf numFmtId="0" fontId="0" fillId="37" borderId="21" xfId="0" applyFill="1" applyBorder="1" applyAlignment="1" applyProtection="1">
      <alignment horizontal="center" wrapText="1"/>
      <protection locked="0"/>
    </xf>
    <xf numFmtId="0" fontId="24" fillId="4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102" fillId="0" borderId="20" xfId="0" applyFont="1" applyFill="1" applyBorder="1" applyAlignment="1" applyProtection="1">
      <alignment horizontal="center" vertical="top" wrapText="1"/>
    </xf>
    <xf numFmtId="0" fontId="102" fillId="0" borderId="1" xfId="0" applyFont="1" applyFill="1" applyBorder="1" applyAlignment="1" applyProtection="1">
      <alignment horizontal="center" vertical="top" wrapText="1"/>
    </xf>
    <xf numFmtId="0" fontId="102" fillId="0" borderId="21" xfId="0" applyFont="1" applyFill="1" applyBorder="1" applyAlignment="1" applyProtection="1">
      <alignment horizontal="center" vertical="top" wrapText="1"/>
    </xf>
    <xf numFmtId="171" fontId="101" fillId="0" borderId="3" xfId="0" applyNumberFormat="1" applyFont="1" applyBorder="1" applyAlignment="1">
      <alignment horizontal="center" vertical="center" wrapText="1"/>
    </xf>
    <xf numFmtId="0" fontId="33" fillId="39" borderId="15" xfId="0" applyFont="1" applyFill="1" applyBorder="1" applyAlignment="1" applyProtection="1">
      <alignment horizontal="left" vertical="top"/>
      <protection locked="0"/>
    </xf>
    <xf numFmtId="0" fontId="33" fillId="39" borderId="17" xfId="0" applyFont="1" applyFill="1" applyBorder="1" applyAlignment="1" applyProtection="1">
      <alignment horizontal="left" vertical="top"/>
      <protection locked="0"/>
    </xf>
    <xf numFmtId="0" fontId="33" fillId="39" borderId="1" xfId="0" applyFont="1" applyFill="1" applyBorder="1" applyAlignment="1" applyProtection="1">
      <alignment horizontal="left" vertical="top"/>
      <protection locked="0"/>
    </xf>
    <xf numFmtId="0" fontId="33" fillId="39" borderId="21" xfId="0" applyFont="1" applyFill="1" applyBorder="1" applyAlignment="1" applyProtection="1">
      <alignment horizontal="left" vertical="top"/>
      <protection locked="0"/>
    </xf>
    <xf numFmtId="0" fontId="28" fillId="37" borderId="15" xfId="0" applyFont="1" applyFill="1" applyBorder="1" applyAlignment="1" applyProtection="1">
      <alignment horizontal="left" vertical="top"/>
      <protection locked="0"/>
    </xf>
    <xf numFmtId="0" fontId="28" fillId="37" borderId="17" xfId="0" applyFont="1" applyFill="1" applyBorder="1" applyAlignment="1" applyProtection="1">
      <alignment horizontal="left" vertical="top"/>
      <protection locked="0"/>
    </xf>
    <xf numFmtId="0" fontId="28" fillId="37" borderId="1" xfId="0" applyFont="1" applyFill="1" applyBorder="1" applyAlignment="1" applyProtection="1">
      <alignment horizontal="left" vertical="top"/>
      <protection locked="0"/>
    </xf>
    <xf numFmtId="0" fontId="28" fillId="37" borderId="21" xfId="0" applyFont="1" applyFill="1" applyBorder="1" applyAlignment="1" applyProtection="1">
      <alignment horizontal="left" vertical="top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7" xfId="0" applyFont="1" applyFill="1" applyBorder="1" applyAlignment="1" applyProtection="1">
      <alignment horizontal="left" vertical="top"/>
      <protection locked="0"/>
    </xf>
    <xf numFmtId="0" fontId="33" fillId="0" borderId="1" xfId="0" applyFont="1" applyFill="1" applyBorder="1" applyAlignment="1" applyProtection="1">
      <alignment horizontal="left" vertical="top"/>
      <protection locked="0"/>
    </xf>
    <xf numFmtId="0" fontId="33" fillId="0" borderId="21" xfId="0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78" fontId="68" fillId="0" borderId="0" xfId="0" applyNumberFormat="1" applyFont="1" applyAlignment="1" applyProtection="1">
      <alignment horizontal="center"/>
    </xf>
    <xf numFmtId="169" fontId="10" fillId="37" borderId="1" xfId="0" applyNumberFormat="1" applyFont="1" applyFill="1" applyBorder="1" applyAlignment="1" applyProtection="1">
      <alignment horizontal="center"/>
      <protection locked="0"/>
    </xf>
    <xf numFmtId="0" fontId="10" fillId="37" borderId="1" xfId="0" applyFont="1" applyFill="1" applyBorder="1" applyAlignment="1" applyProtection="1">
      <alignment horizontal="center"/>
      <protection locked="0"/>
    </xf>
    <xf numFmtId="1" fontId="13" fillId="3" borderId="30" xfId="28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8" fontId="68" fillId="0" borderId="0" xfId="0" applyNumberFormat="1" applyFont="1" applyAlignment="1" applyProtection="1">
      <alignment horizontal="center"/>
    </xf>
    <xf numFmtId="0" fontId="68" fillId="0" borderId="0" xfId="0" applyFont="1" applyAlignment="1" applyProtection="1">
      <alignment horizontal="center"/>
    </xf>
    <xf numFmtId="168" fontId="68" fillId="0" borderId="0" xfId="0" applyNumberFormat="1" applyFont="1" applyAlignment="1" applyProtection="1">
      <alignment horizontal="center"/>
    </xf>
    <xf numFmtId="0" fontId="68" fillId="0" borderId="0" xfId="0" applyFont="1" applyAlignment="1">
      <alignment horizontal="center"/>
    </xf>
    <xf numFmtId="173" fontId="10" fillId="37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3" fillId="0" borderId="0" xfId="0" applyFont="1" applyAlignment="1" applyProtection="1">
      <alignment horizontal="center" wrapText="1"/>
    </xf>
    <xf numFmtId="0" fontId="75" fillId="36" borderId="11" xfId="0" applyFont="1" applyFill="1" applyBorder="1" applyAlignment="1" applyProtection="1"/>
    <xf numFmtId="0" fontId="75" fillId="36" borderId="12" xfId="0" applyFont="1" applyFill="1" applyBorder="1" applyAlignment="1" applyProtection="1"/>
    <xf numFmtId="0" fontId="76" fillId="36" borderId="36" xfId="0" applyFont="1" applyFill="1" applyBorder="1" applyAlignment="1" applyProtection="1">
      <alignment horizontal="center"/>
    </xf>
    <xf numFmtId="0" fontId="76" fillId="36" borderId="2" xfId="0" applyFont="1" applyFill="1" applyBorder="1" applyAlignment="1" applyProtection="1">
      <alignment horizontal="center"/>
    </xf>
    <xf numFmtId="0" fontId="76" fillId="36" borderId="5" xfId="0" applyFont="1" applyFill="1" applyBorder="1" applyAlignment="1" applyProtection="1">
      <alignment horizontal="center"/>
    </xf>
    <xf numFmtId="43" fontId="34" fillId="0" borderId="27" xfId="28" applyFont="1" applyBorder="1" applyAlignment="1">
      <alignment horizontal="center" vertical="center"/>
    </xf>
    <xf numFmtId="43" fontId="34" fillId="0" borderId="15" xfId="28" applyFont="1" applyBorder="1" applyAlignment="1">
      <alignment horizontal="center" vertical="center"/>
    </xf>
    <xf numFmtId="43" fontId="3" fillId="0" borderId="17" xfId="28" applyFont="1" applyBorder="1" applyAlignment="1">
      <alignment horizontal="center" vertical="center"/>
    </xf>
    <xf numFmtId="43" fontId="3" fillId="0" borderId="20" xfId="28" applyFont="1" applyBorder="1" applyAlignment="1">
      <alignment horizontal="center" vertical="center"/>
    </xf>
    <xf numFmtId="43" fontId="3" fillId="0" borderId="1" xfId="28" applyFont="1" applyBorder="1" applyAlignment="1">
      <alignment horizontal="center" vertical="center"/>
    </xf>
    <xf numFmtId="43" fontId="3" fillId="0" borderId="21" xfId="28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17" fontId="55" fillId="0" borderId="0" xfId="0" applyNumberFormat="1" applyFont="1" applyFill="1" applyBorder="1" applyAlignment="1" applyProtection="1">
      <alignment horizontal="center"/>
    </xf>
    <xf numFmtId="43" fontId="34" fillId="0" borderId="27" xfId="28" applyFont="1" applyFill="1" applyBorder="1" applyAlignment="1" applyProtection="1">
      <alignment horizontal="center" vertical="center"/>
    </xf>
    <xf numFmtId="43" fontId="34" fillId="0" borderId="15" xfId="28" applyFont="1" applyFill="1" applyBorder="1" applyAlignment="1" applyProtection="1">
      <alignment horizontal="center" vertical="center"/>
    </xf>
    <xf numFmtId="43" fontId="3" fillId="0" borderId="17" xfId="28" applyFont="1" applyFill="1" applyBorder="1" applyAlignment="1" applyProtection="1">
      <alignment horizontal="center" vertical="center"/>
    </xf>
    <xf numFmtId="43" fontId="3" fillId="0" borderId="20" xfId="28" applyFont="1" applyFill="1" applyBorder="1" applyAlignment="1" applyProtection="1">
      <alignment horizontal="center" vertical="center"/>
    </xf>
    <xf numFmtId="43" fontId="3" fillId="0" borderId="1" xfId="28" applyFont="1" applyFill="1" applyBorder="1" applyAlignment="1" applyProtection="1">
      <alignment horizontal="center" vertical="center"/>
    </xf>
    <xf numFmtId="43" fontId="3" fillId="0" borderId="21" xfId="28" applyFont="1" applyFill="1" applyBorder="1" applyAlignment="1" applyProtection="1">
      <alignment horizontal="center" vertical="center"/>
    </xf>
    <xf numFmtId="43" fontId="34" fillId="0" borderId="27" xfId="28" applyFont="1" applyBorder="1" applyAlignment="1" applyProtection="1">
      <alignment horizontal="center" vertical="center" wrapText="1"/>
    </xf>
    <xf numFmtId="43" fontId="34" fillId="0" borderId="15" xfId="28" applyFont="1" applyBorder="1" applyAlignment="1" applyProtection="1">
      <alignment horizontal="center" vertical="center" wrapText="1"/>
    </xf>
    <xf numFmtId="43" fontId="3" fillId="0" borderId="17" xfId="28" applyFont="1" applyBorder="1" applyAlignment="1" applyProtection="1">
      <alignment horizontal="center" vertical="center" wrapText="1"/>
    </xf>
    <xf numFmtId="43" fontId="3" fillId="0" borderId="20" xfId="28" applyFont="1" applyBorder="1" applyAlignment="1" applyProtection="1">
      <alignment horizontal="center" vertical="center" wrapText="1"/>
    </xf>
    <xf numFmtId="43" fontId="3" fillId="0" borderId="1" xfId="28" applyFont="1" applyBorder="1" applyAlignment="1" applyProtection="1">
      <alignment horizontal="center" vertical="center" wrapText="1"/>
    </xf>
    <xf numFmtId="43" fontId="3" fillId="0" borderId="21" xfId="28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/>
    </xf>
    <xf numFmtId="0" fontId="74" fillId="0" borderId="0" xfId="0" applyFont="1" applyFill="1" applyAlignment="1">
      <alignment horizontal="center" vertical="center" wrapText="1"/>
    </xf>
    <xf numFmtId="0" fontId="8" fillId="0" borderId="24" xfId="0" applyFont="1" applyBorder="1" applyAlignment="1" applyProtection="1">
      <alignment horizontal="center"/>
    </xf>
    <xf numFmtId="17" fontId="10" fillId="4" borderId="0" xfId="0" applyNumberFormat="1" applyFont="1" applyFill="1" applyBorder="1" applyAlignment="1" applyProtection="1">
      <alignment horizontal="center"/>
      <protection locked="0"/>
    </xf>
    <xf numFmtId="168" fontId="1" fillId="4" borderId="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86" fillId="0" borderId="0" xfId="0" applyFont="1" applyAlignment="1">
      <alignment horizontal="center"/>
    </xf>
    <xf numFmtId="17" fontId="57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/>
    </xf>
    <xf numFmtId="0" fontId="95" fillId="0" borderId="0" xfId="0" applyFont="1" applyAlignment="1">
      <alignment horizontal="center" vertical="center"/>
    </xf>
    <xf numFmtId="43" fontId="34" fillId="0" borderId="27" xfId="28" applyFont="1" applyBorder="1" applyAlignment="1" applyProtection="1">
      <alignment horizontal="center" vertical="center"/>
      <protection locked="0"/>
    </xf>
    <xf numFmtId="43" fontId="34" fillId="0" borderId="15" xfId="28" applyFont="1" applyBorder="1" applyAlignment="1" applyProtection="1">
      <alignment horizontal="center" vertical="center"/>
      <protection locked="0"/>
    </xf>
    <xf numFmtId="43" fontId="3" fillId="0" borderId="17" xfId="28" applyFont="1" applyBorder="1" applyAlignment="1" applyProtection="1">
      <alignment horizontal="center" vertical="center"/>
      <protection locked="0"/>
    </xf>
    <xf numFmtId="43" fontId="3" fillId="0" borderId="20" xfId="28" applyFont="1" applyBorder="1" applyAlignment="1" applyProtection="1">
      <alignment horizontal="center" vertical="center"/>
      <protection locked="0"/>
    </xf>
    <xf numFmtId="43" fontId="3" fillId="0" borderId="1" xfId="28" applyFont="1" applyBorder="1" applyAlignment="1" applyProtection="1">
      <alignment horizontal="center" vertical="center"/>
      <protection locked="0"/>
    </xf>
    <xf numFmtId="43" fontId="3" fillId="0" borderId="21" xfId="28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43" fontId="2" fillId="0" borderId="7" xfId="28" applyFont="1" applyBorder="1" applyAlignment="1" applyProtection="1">
      <alignment horizontal="center" vertical="center"/>
    </xf>
    <xf numFmtId="43" fontId="2" fillId="0" borderId="10" xfId="28" applyFont="1" applyBorder="1" applyAlignment="1" applyProtection="1">
      <alignment horizontal="center" vertical="center"/>
    </xf>
    <xf numFmtId="43" fontId="3" fillId="0" borderId="34" xfId="28" applyFont="1" applyBorder="1" applyAlignment="1">
      <alignment horizontal="center" vertical="center"/>
    </xf>
    <xf numFmtId="43" fontId="3" fillId="0" borderId="11" xfId="28" applyFont="1" applyBorder="1" applyAlignment="1">
      <alignment horizontal="center" vertical="center"/>
    </xf>
    <xf numFmtId="43" fontId="3" fillId="0" borderId="26" xfId="28" applyFont="1" applyBorder="1" applyAlignment="1">
      <alignment horizontal="center" vertical="center"/>
    </xf>
    <xf numFmtId="43" fontId="3" fillId="0" borderId="35" xfId="28" applyFont="1" applyBorder="1" applyAlignment="1">
      <alignment horizontal="center" vertical="center"/>
    </xf>
    <xf numFmtId="174" fontId="8" fillId="0" borderId="6" xfId="28" applyNumberFormat="1" applyFont="1" applyBorder="1" applyAlignment="1" applyProtection="1">
      <alignment horizontal="center" wrapText="1"/>
    </xf>
    <xf numFmtId="174" fontId="8" fillId="0" borderId="24" xfId="28" applyNumberFormat="1" applyFont="1" applyBorder="1" applyAlignment="1" applyProtection="1">
      <alignment horizontal="center" wrapText="1"/>
    </xf>
    <xf numFmtId="43" fontId="34" fillId="0" borderId="33" xfId="28" applyFont="1" applyBorder="1" applyAlignment="1">
      <alignment horizontal="center" vertical="center" wrapText="1"/>
    </xf>
    <xf numFmtId="43" fontId="34" fillId="0" borderId="15" xfId="28" applyFont="1" applyBorder="1" applyAlignment="1">
      <alignment horizontal="center" vertical="center" wrapText="1"/>
    </xf>
    <xf numFmtId="43" fontId="34" fillId="0" borderId="17" xfId="28" applyFont="1" applyBorder="1" applyAlignment="1">
      <alignment horizontal="center" vertical="center" wrapText="1"/>
    </xf>
    <xf numFmtId="43" fontId="34" fillId="0" borderId="16" xfId="28" applyFont="1" applyBorder="1" applyAlignment="1">
      <alignment horizontal="center" vertical="center" wrapText="1"/>
    </xf>
    <xf numFmtId="43" fontId="34" fillId="0" borderId="1" xfId="28" applyFont="1" applyBorder="1" applyAlignment="1">
      <alignment horizontal="center" vertical="center" wrapText="1"/>
    </xf>
    <xf numFmtId="43" fontId="34" fillId="0" borderId="21" xfId="28" applyFont="1" applyBorder="1" applyAlignment="1">
      <alignment horizontal="center" vertical="center" wrapText="1"/>
    </xf>
    <xf numFmtId="1" fontId="11" fillId="2" borderId="96" xfId="28" applyNumberFormat="1" applyFont="1" applyFill="1" applyBorder="1" applyAlignment="1">
      <alignment horizontal="center"/>
    </xf>
    <xf numFmtId="1" fontId="11" fillId="2" borderId="97" xfId="28" applyNumberFormat="1" applyFont="1" applyFill="1" applyBorder="1" applyAlignment="1">
      <alignment horizontal="center"/>
    </xf>
    <xf numFmtId="0" fontId="11" fillId="2" borderId="96" xfId="0" applyFont="1" applyFill="1" applyBorder="1" applyAlignment="1">
      <alignment horizontal="center"/>
    </xf>
    <xf numFmtId="0" fontId="11" fillId="2" borderId="9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48" xfId="0" applyFont="1" applyBorder="1" applyAlignment="1" applyProtection="1">
      <alignment horizontal="center"/>
      <protection locked="0"/>
    </xf>
    <xf numFmtId="0" fontId="1" fillId="43" borderId="4" xfId="0" applyFont="1" applyFill="1" applyBorder="1" applyAlignment="1">
      <alignment horizontal="center" wrapText="1"/>
    </xf>
    <xf numFmtId="0" fontId="0" fillId="43" borderId="2" xfId="0" applyFill="1" applyBorder="1" applyAlignment="1">
      <alignment horizontal="center" wrapText="1"/>
    </xf>
    <xf numFmtId="0" fontId="0" fillId="43" borderId="5" xfId="0" applyFill="1" applyBorder="1" applyAlignment="1">
      <alignment horizontal="center" wrapText="1"/>
    </xf>
    <xf numFmtId="0" fontId="0" fillId="43" borderId="18" xfId="0" applyFill="1" applyBorder="1" applyAlignment="1" applyProtection="1">
      <alignment horizontal="center" wrapText="1"/>
      <protection locked="0"/>
    </xf>
    <xf numFmtId="0" fontId="0" fillId="43" borderId="0" xfId="0" applyFill="1" applyBorder="1" applyAlignment="1" applyProtection="1">
      <alignment horizontal="center" wrapText="1"/>
      <protection locked="0"/>
    </xf>
    <xf numFmtId="0" fontId="0" fillId="43" borderId="19" xfId="0" applyFill="1" applyBorder="1" applyAlignment="1" applyProtection="1">
      <alignment horizontal="center" wrapText="1"/>
      <protection locked="0"/>
    </xf>
    <xf numFmtId="0" fontId="0" fillId="43" borderId="20" xfId="0" applyFill="1" applyBorder="1" applyAlignment="1" applyProtection="1">
      <alignment horizontal="center" wrapText="1"/>
      <protection locked="0"/>
    </xf>
    <xf numFmtId="0" fontId="0" fillId="43" borderId="1" xfId="0" applyFill="1" applyBorder="1" applyAlignment="1" applyProtection="1">
      <alignment horizontal="center" wrapText="1"/>
      <protection locked="0"/>
    </xf>
    <xf numFmtId="0" fontId="0" fillId="43" borderId="21" xfId="0" applyFill="1" applyBorder="1" applyAlignment="1" applyProtection="1">
      <alignment horizontal="center" wrapText="1"/>
      <protection locked="0"/>
    </xf>
    <xf numFmtId="0" fontId="3" fillId="44" borderId="4" xfId="0" applyFont="1" applyFill="1" applyBorder="1" applyAlignment="1">
      <alignment horizontal="center"/>
    </xf>
    <xf numFmtId="0" fontId="3" fillId="44" borderId="2" xfId="0" applyFont="1" applyFill="1" applyBorder="1" applyAlignment="1">
      <alignment horizontal="center"/>
    </xf>
    <xf numFmtId="0" fontId="3" fillId="44" borderId="5" xfId="0" applyFont="1" applyFill="1" applyBorder="1" applyAlignment="1">
      <alignment horizontal="center"/>
    </xf>
    <xf numFmtId="165" fontId="1" fillId="0" borderId="2" xfId="0" applyNumberFormat="1" applyFont="1" applyBorder="1" applyAlignment="1" applyProtection="1">
      <alignment wrapText="1"/>
      <protection locked="0"/>
    </xf>
    <xf numFmtId="165" fontId="0" fillId="0" borderId="2" xfId="0" applyNumberFormat="1" applyBorder="1" applyAlignment="1" applyProtection="1">
      <alignment wrapText="1"/>
      <protection locked="0"/>
    </xf>
    <xf numFmtId="165" fontId="1" fillId="0" borderId="2" xfId="0" applyNumberFormat="1" applyFont="1" applyBorder="1" applyAlignment="1" applyProtection="1">
      <protection locked="0"/>
    </xf>
    <xf numFmtId="165" fontId="0" fillId="0" borderId="2" xfId="0" applyNumberFormat="1" applyBorder="1" applyAlignment="1" applyProtection="1">
      <protection locked="0"/>
    </xf>
    <xf numFmtId="0" fontId="0" fillId="4" borderId="80" xfId="0" applyFill="1" applyBorder="1" applyAlignment="1" applyProtection="1">
      <alignment horizontal="left" wrapText="1"/>
      <protection locked="0"/>
    </xf>
    <xf numFmtId="0" fontId="0" fillId="4" borderId="81" xfId="0" applyFill="1" applyBorder="1" applyAlignment="1" applyProtection="1">
      <alignment horizontal="left" wrapText="1"/>
      <protection locked="0"/>
    </xf>
    <xf numFmtId="0" fontId="0" fillId="4" borderId="82" xfId="0" applyFill="1" applyBorder="1" applyAlignment="1" applyProtection="1">
      <alignment horizontal="left" wrapText="1"/>
      <protection locked="0"/>
    </xf>
    <xf numFmtId="0" fontId="0" fillId="4" borderId="83" xfId="0" applyFill="1" applyBorder="1" applyAlignment="1" applyProtection="1">
      <alignment horizontal="left" wrapText="1"/>
      <protection locked="0"/>
    </xf>
    <xf numFmtId="0" fontId="0" fillId="4" borderId="84" xfId="0" applyFill="1" applyBorder="1" applyAlignment="1" applyProtection="1">
      <alignment horizontal="left" wrapText="1"/>
      <protection locked="0"/>
    </xf>
    <xf numFmtId="0" fontId="0" fillId="4" borderId="85" xfId="0" applyFill="1" applyBorder="1" applyAlignment="1" applyProtection="1">
      <alignment horizontal="left" wrapText="1"/>
      <protection locked="0"/>
    </xf>
    <xf numFmtId="0" fontId="0" fillId="41" borderId="77" xfId="0" applyFill="1" applyBorder="1" applyAlignment="1">
      <alignment horizontal="left" wrapText="1"/>
    </xf>
    <xf numFmtId="0" fontId="0" fillId="41" borderId="78" xfId="0" applyFill="1" applyBorder="1" applyAlignment="1">
      <alignment horizontal="left" wrapText="1"/>
    </xf>
    <xf numFmtId="0" fontId="0" fillId="41" borderId="79" xfId="0" applyFill="1" applyBorder="1" applyAlignment="1">
      <alignment horizontal="left" wrapText="1"/>
    </xf>
    <xf numFmtId="0" fontId="0" fillId="41" borderId="80" xfId="0" applyFill="1" applyBorder="1" applyAlignment="1">
      <alignment horizontal="left" wrapText="1"/>
    </xf>
    <xf numFmtId="0" fontId="0" fillId="41" borderId="81" xfId="0" applyFill="1" applyBorder="1" applyAlignment="1">
      <alignment horizontal="left" wrapText="1"/>
    </xf>
    <xf numFmtId="0" fontId="0" fillId="41" borderId="82" xfId="0" applyFill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79" xfId="0" applyFont="1" applyBorder="1" applyAlignment="1">
      <alignment horizontal="left" wrapText="1"/>
    </xf>
    <xf numFmtId="0" fontId="0" fillId="0" borderId="80" xfId="0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4" fillId="0" borderId="49" xfId="0" applyFont="1" applyBorder="1" applyAlignment="1">
      <alignment horizontal="center" wrapText="1"/>
    </xf>
    <xf numFmtId="0" fontId="64" fillId="0" borderId="53" xfId="0" applyFont="1" applyBorder="1" applyAlignment="1">
      <alignment horizontal="center" wrapText="1"/>
    </xf>
    <xf numFmtId="0" fontId="64" fillId="0" borderId="48" xfId="0" applyFont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64" fillId="0" borderId="48" xfId="28" applyFont="1" applyBorder="1" applyAlignment="1">
      <alignment horizontal="center"/>
    </xf>
    <xf numFmtId="0" fontId="64" fillId="0" borderId="62" xfId="0" applyFont="1" applyBorder="1" applyAlignment="1">
      <alignment horizontal="center" wrapText="1"/>
    </xf>
    <xf numFmtId="0" fontId="64" fillId="0" borderId="63" xfId="0" applyFont="1" applyBorder="1" applyAlignment="1">
      <alignment horizontal="center" wrapText="1"/>
    </xf>
    <xf numFmtId="0" fontId="77" fillId="0" borderId="0" xfId="0" applyFont="1" applyAlignment="1">
      <alignment horizontal="center" wrapText="1"/>
    </xf>
    <xf numFmtId="0" fontId="64" fillId="0" borderId="50" xfId="0" applyFont="1" applyBorder="1" applyAlignment="1">
      <alignment horizontal="center"/>
    </xf>
    <xf numFmtId="0" fontId="64" fillId="0" borderId="51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168" fontId="7" fillId="0" borderId="28" xfId="0" applyNumberFormat="1" applyFont="1" applyBorder="1" applyAlignment="1" applyProtection="1">
      <alignment horizontal="center"/>
      <protection locked="0"/>
    </xf>
    <xf numFmtId="168" fontId="7" fillId="0" borderId="23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165" fontId="1" fillId="0" borderId="2" xfId="0" applyNumberFormat="1" applyFont="1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67" fillId="0" borderId="27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0" fillId="41" borderId="83" xfId="0" applyFill="1" applyBorder="1" applyAlignment="1">
      <alignment horizontal="left" wrapText="1"/>
    </xf>
    <xf numFmtId="0" fontId="0" fillId="41" borderId="84" xfId="0" applyFill="1" applyBorder="1" applyAlignment="1">
      <alignment horizontal="left" wrapText="1"/>
    </xf>
    <xf numFmtId="0" fontId="0" fillId="41" borderId="85" xfId="0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50" fillId="0" borderId="64" xfId="0" applyFont="1" applyBorder="1" applyAlignment="1">
      <alignment horizontal="center"/>
    </xf>
    <xf numFmtId="0" fontId="104" fillId="0" borderId="0" xfId="0" applyFont="1" applyAlignment="1">
      <alignment horizontal="center" wrapText="1"/>
    </xf>
    <xf numFmtId="0" fontId="0" fillId="4" borderId="90" xfId="0" applyFill="1" applyBorder="1" applyAlignment="1" applyProtection="1">
      <alignment horizontal="left" wrapText="1"/>
      <protection locked="0"/>
    </xf>
    <xf numFmtId="0" fontId="1" fillId="0" borderId="88" xfId="0" applyFont="1" applyBorder="1" applyAlignment="1">
      <alignment horizontal="left" wrapText="1"/>
    </xf>
    <xf numFmtId="0" fontId="1" fillId="0" borderId="87" xfId="0" applyFont="1" applyBorder="1" applyAlignment="1">
      <alignment horizontal="left" wrapText="1"/>
    </xf>
    <xf numFmtId="0" fontId="15" fillId="0" borderId="89" xfId="0" applyFont="1" applyBorder="1" applyAlignment="1">
      <alignment horizontal="left" wrapText="1"/>
    </xf>
    <xf numFmtId="0" fontId="15" fillId="0" borderId="82" xfId="0" applyFont="1" applyBorder="1" applyAlignment="1">
      <alignment horizontal="left" wrapText="1"/>
    </xf>
    <xf numFmtId="0" fontId="0" fillId="4" borderId="89" xfId="0" applyFill="1" applyBorder="1" applyAlignment="1" applyProtection="1">
      <alignment horizontal="left" wrapText="1"/>
      <protection locked="0"/>
    </xf>
    <xf numFmtId="0" fontId="50" fillId="0" borderId="47" xfId="0" applyFont="1" applyBorder="1" applyAlignment="1" applyProtection="1">
      <alignment horizontal="center"/>
      <protection locked="0"/>
    </xf>
    <xf numFmtId="0" fontId="50" fillId="0" borderId="4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28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3" fontId="50" fillId="0" borderId="0" xfId="28" applyFont="1" applyAlignment="1">
      <alignment horizontal="center"/>
    </xf>
    <xf numFmtId="0" fontId="105" fillId="0" borderId="27" xfId="0" applyFont="1" applyBorder="1" applyAlignment="1">
      <alignment horizontal="center" wrapText="1"/>
    </xf>
    <xf numFmtId="0" fontId="105" fillId="0" borderId="18" xfId="0" applyFont="1" applyBorder="1" applyAlignment="1">
      <alignment horizontal="center" wrapText="1"/>
    </xf>
    <xf numFmtId="0" fontId="50" fillId="0" borderId="65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43" fontId="1" fillId="0" borderId="2" xfId="28" applyFont="1" applyBorder="1" applyAlignment="1" applyProtection="1">
      <alignment horizontal="left"/>
      <protection locked="0"/>
    </xf>
    <xf numFmtId="43" fontId="0" fillId="0" borderId="2" xfId="28" applyFont="1" applyBorder="1" applyAlignment="1" applyProtection="1">
      <alignment horizontal="left"/>
      <protection locked="0"/>
    </xf>
    <xf numFmtId="0" fontId="64" fillId="0" borderId="50" xfId="0" applyFont="1" applyBorder="1" applyAlignment="1" applyProtection="1">
      <alignment horizontal="center"/>
      <protection locked="0"/>
    </xf>
    <xf numFmtId="0" fontId="64" fillId="0" borderId="51" xfId="0" applyFont="1" applyBorder="1" applyAlignment="1" applyProtection="1">
      <alignment horizontal="center"/>
      <protection locked="0"/>
    </xf>
    <xf numFmtId="0" fontId="64" fillId="0" borderId="52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1" fillId="41" borderId="77" xfId="0" applyFont="1" applyFill="1" applyBorder="1" applyAlignment="1">
      <alignment horizontal="left" wrapText="1"/>
    </xf>
    <xf numFmtId="0" fontId="1" fillId="41" borderId="78" xfId="0" applyFont="1" applyFill="1" applyBorder="1" applyAlignment="1">
      <alignment horizontal="left" wrapText="1"/>
    </xf>
    <xf numFmtId="0" fontId="1" fillId="41" borderId="79" xfId="0" applyFont="1" applyFill="1" applyBorder="1" applyAlignment="1">
      <alignment horizontal="left" wrapText="1"/>
    </xf>
    <xf numFmtId="0" fontId="3" fillId="44" borderId="27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0" fillId="44" borderId="20" xfId="0" applyFill="1" applyBorder="1" applyAlignment="1">
      <alignment horizontal="left"/>
    </xf>
    <xf numFmtId="0" fontId="0" fillId="44" borderId="1" xfId="0" applyFill="1" applyBorder="1" applyAlignment="1">
      <alignment horizontal="left"/>
    </xf>
    <xf numFmtId="0" fontId="0" fillId="44" borderId="21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Border="1" applyAlignment="1"/>
    <xf numFmtId="0" fontId="103" fillId="0" borderId="0" xfId="0" applyFont="1" applyAlignment="1">
      <alignment horizontal="center" wrapText="1"/>
    </xf>
    <xf numFmtId="0" fontId="1" fillId="0" borderId="86" xfId="0" applyFont="1" applyBorder="1" applyAlignment="1">
      <alignment horizontal="left" wrapText="1"/>
    </xf>
    <xf numFmtId="0" fontId="15" fillId="0" borderId="80" xfId="0" applyFont="1" applyBorder="1" applyAlignment="1">
      <alignment horizontal="left" wrapText="1"/>
    </xf>
    <xf numFmtId="0" fontId="1" fillId="43" borderId="27" xfId="0" applyFont="1" applyFill="1" applyBorder="1" applyAlignment="1" applyProtection="1">
      <alignment horizontal="left" wrapText="1"/>
      <protection locked="0"/>
    </xf>
    <xf numFmtId="0" fontId="1" fillId="43" borderId="15" xfId="0" applyFont="1" applyFill="1" applyBorder="1" applyAlignment="1" applyProtection="1">
      <alignment horizontal="left" wrapText="1"/>
      <protection locked="0"/>
    </xf>
    <xf numFmtId="0" fontId="1" fillId="43" borderId="17" xfId="0" applyFont="1" applyFill="1" applyBorder="1" applyAlignment="1" applyProtection="1">
      <alignment horizontal="left" wrapText="1"/>
      <protection locked="0"/>
    </xf>
    <xf numFmtId="0" fontId="1" fillId="43" borderId="18" xfId="0" applyFont="1" applyFill="1" applyBorder="1" applyAlignment="1" applyProtection="1">
      <alignment horizontal="left" wrapText="1"/>
      <protection locked="0"/>
    </xf>
    <xf numFmtId="0" fontId="1" fillId="43" borderId="0" xfId="0" applyFont="1" applyFill="1" applyBorder="1" applyAlignment="1" applyProtection="1">
      <alignment horizontal="left" wrapText="1"/>
      <protection locked="0"/>
    </xf>
    <xf numFmtId="0" fontId="1" fillId="43" borderId="19" xfId="0" applyFont="1" applyFill="1" applyBorder="1" applyAlignment="1" applyProtection="1">
      <alignment horizontal="left" wrapText="1"/>
      <protection locked="0"/>
    </xf>
    <xf numFmtId="0" fontId="1" fillId="43" borderId="20" xfId="0" applyFont="1" applyFill="1" applyBorder="1" applyAlignment="1" applyProtection="1">
      <alignment horizontal="left" wrapText="1"/>
      <protection locked="0"/>
    </xf>
    <xf numFmtId="0" fontId="1" fillId="43" borderId="1" xfId="0" applyFont="1" applyFill="1" applyBorder="1" applyAlignment="1" applyProtection="1">
      <alignment horizontal="left" wrapText="1"/>
      <protection locked="0"/>
    </xf>
    <xf numFmtId="0" fontId="1" fillId="43" borderId="21" xfId="0" applyFont="1" applyFill="1" applyBorder="1" applyAlignment="1" applyProtection="1">
      <alignment horizontal="left" wrapText="1"/>
      <protection locked="0"/>
    </xf>
    <xf numFmtId="166" fontId="96" fillId="0" borderId="68" xfId="28" applyNumberFormat="1" applyFont="1" applyFill="1" applyBorder="1" applyAlignment="1" applyProtection="1">
      <alignment horizontal="center" textRotation="255" wrapText="1"/>
    </xf>
    <xf numFmtId="0" fontId="64" fillId="0" borderId="101" xfId="0" applyFont="1" applyBorder="1" applyAlignment="1" applyProtection="1">
      <alignment horizontal="center"/>
    </xf>
    <xf numFmtId="0" fontId="64" fillId="0" borderId="102" xfId="0" applyFont="1" applyBorder="1" applyAlignment="1" applyProtection="1">
      <alignment horizontal="center"/>
    </xf>
    <xf numFmtId="0" fontId="64" fillId="0" borderId="101" xfId="0" applyFont="1" applyBorder="1" applyAlignment="1">
      <alignment horizontal="center"/>
    </xf>
    <xf numFmtId="0" fontId="64" fillId="0" borderId="102" xfId="0" applyFont="1" applyBorder="1" applyAlignment="1">
      <alignment horizontal="center"/>
    </xf>
    <xf numFmtId="0" fontId="64" fillId="0" borderId="103" xfId="0" applyFont="1" applyBorder="1" applyAlignment="1">
      <alignment horizontal="center"/>
    </xf>
    <xf numFmtId="0" fontId="64" fillId="0" borderId="4" xfId="0" applyFont="1" applyBorder="1" applyAlignment="1" applyProtection="1">
      <alignment horizontal="center"/>
    </xf>
    <xf numFmtId="0" fontId="64" fillId="0" borderId="2" xfId="0" applyFont="1" applyBorder="1" applyAlignment="1" applyProtection="1">
      <alignment horizontal="center"/>
    </xf>
    <xf numFmtId="0" fontId="64" fillId="0" borderId="4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5" xfId="0" applyFont="1" applyBorder="1" applyAlignment="1">
      <alignment horizontal="center"/>
    </xf>
    <xf numFmtId="0" fontId="64" fillId="45" borderId="48" xfId="0" applyFont="1" applyFill="1" applyBorder="1" applyAlignment="1" applyProtection="1">
      <alignment horizontal="center"/>
      <protection locked="0"/>
    </xf>
    <xf numFmtId="166" fontId="96" fillId="0" borderId="47" xfId="28" applyNumberFormat="1" applyFont="1" applyFill="1" applyBorder="1" applyAlignment="1" applyProtection="1">
      <alignment textRotation="255" wrapText="1"/>
    </xf>
    <xf numFmtId="0" fontId="96" fillId="0" borderId="47" xfId="0" applyFont="1" applyBorder="1" applyAlignment="1">
      <alignment textRotation="255" wrapText="1"/>
    </xf>
    <xf numFmtId="166" fontId="96" fillId="0" borderId="100" xfId="28" applyNumberFormat="1" applyFont="1" applyFill="1" applyBorder="1" applyAlignment="1" applyProtection="1">
      <alignment textRotation="255" wrapText="1"/>
    </xf>
    <xf numFmtId="0" fontId="96" fillId="0" borderId="100" xfId="0" applyFont="1" applyBorder="1" applyAlignment="1">
      <alignment textRotation="255" wrapText="1"/>
    </xf>
    <xf numFmtId="0" fontId="96" fillId="0" borderId="47" xfId="0" applyFont="1" applyFill="1" applyBorder="1" applyAlignment="1">
      <alignment textRotation="255" wrapText="1"/>
    </xf>
    <xf numFmtId="0" fontId="87" fillId="0" borderId="91" xfId="0" applyFont="1" applyBorder="1" applyAlignment="1">
      <alignment horizontal="center" wrapText="1"/>
    </xf>
    <xf numFmtId="0" fontId="87" fillId="0" borderId="94" xfId="0" applyFont="1" applyBorder="1" applyAlignment="1">
      <alignment horizontal="center" wrapText="1"/>
    </xf>
    <xf numFmtId="0" fontId="0" fillId="4" borderId="77" xfId="0" applyFill="1" applyBorder="1" applyAlignment="1" applyProtection="1">
      <alignment horizontal="left" wrapText="1"/>
      <protection locked="0"/>
    </xf>
    <xf numFmtId="0" fontId="0" fillId="4" borderId="78" xfId="0" applyFill="1" applyBorder="1" applyAlignment="1" applyProtection="1">
      <alignment horizontal="left" wrapText="1"/>
      <protection locked="0"/>
    </xf>
    <xf numFmtId="0" fontId="0" fillId="4" borderId="79" xfId="0" applyFill="1" applyBorder="1" applyAlignment="1" applyProtection="1">
      <alignment horizontal="left" wrapText="1"/>
      <protection locked="0"/>
    </xf>
    <xf numFmtId="0" fontId="64" fillId="45" borderId="62" xfId="0" applyFont="1" applyFill="1" applyBorder="1" applyAlignment="1">
      <alignment horizontal="center" wrapText="1"/>
    </xf>
    <xf numFmtId="0" fontId="64" fillId="45" borderId="63" xfId="0" applyFont="1" applyFill="1" applyBorder="1" applyAlignment="1">
      <alignment horizontal="center" wrapText="1"/>
    </xf>
    <xf numFmtId="166" fontId="96" fillId="0" borderId="99" xfId="28" applyNumberFormat="1" applyFont="1" applyFill="1" applyBorder="1" applyAlignment="1" applyProtection="1">
      <alignment textRotation="255" wrapText="1"/>
    </xf>
    <xf numFmtId="0" fontId="96" fillId="0" borderId="99" xfId="0" applyFont="1" applyBorder="1" applyAlignment="1">
      <alignment textRotation="255" wrapText="1"/>
    </xf>
    <xf numFmtId="0" fontId="7" fillId="0" borderId="3" xfId="0" applyFont="1" applyBorder="1" applyAlignment="1">
      <alignment horizontal="center"/>
    </xf>
    <xf numFmtId="43" fontId="64" fillId="45" borderId="48" xfId="28" applyFont="1" applyFill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64" fillId="45" borderId="4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1" borderId="77" xfId="0" applyFont="1" applyFill="1" applyBorder="1" applyAlignment="1">
      <alignment horizontal="center" wrapText="1"/>
    </xf>
    <xf numFmtId="0" fontId="1" fillId="41" borderId="78" xfId="0" applyFont="1" applyFill="1" applyBorder="1" applyAlignment="1">
      <alignment horizontal="center" wrapText="1"/>
    </xf>
    <xf numFmtId="0" fontId="1" fillId="41" borderId="79" xfId="0" applyFont="1" applyFill="1" applyBorder="1" applyAlignment="1">
      <alignment horizontal="center" wrapText="1"/>
    </xf>
    <xf numFmtId="0" fontId="64" fillId="0" borderId="54" xfId="0" applyFont="1" applyBorder="1" applyAlignment="1">
      <alignment horizontal="center"/>
    </xf>
    <xf numFmtId="43" fontId="64" fillId="0" borderId="50" xfId="28" applyFont="1" applyBorder="1" applyAlignment="1">
      <alignment horizontal="center"/>
    </xf>
    <xf numFmtId="43" fontId="64" fillId="0" borderId="51" xfId="28" applyFont="1" applyBorder="1" applyAlignment="1">
      <alignment horizontal="center"/>
    </xf>
    <xf numFmtId="43" fontId="64" fillId="0" borderId="52" xfId="28" applyFont="1" applyBorder="1" applyAlignment="1">
      <alignment horizontal="center"/>
    </xf>
    <xf numFmtId="0" fontId="1" fillId="4" borderId="0" xfId="0" applyFont="1" applyFill="1" applyAlignment="1" applyProtection="1">
      <protection locked="0"/>
    </xf>
    <xf numFmtId="0" fontId="0" fillId="4" borderId="0" xfId="0" applyFill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41" borderId="4" xfId="0" applyFont="1" applyFill="1" applyBorder="1" applyAlignment="1">
      <alignment horizontal="center" wrapText="1"/>
    </xf>
    <xf numFmtId="0" fontId="1" fillId="41" borderId="2" xfId="0" applyFont="1" applyFill="1" applyBorder="1" applyAlignment="1">
      <alignment horizontal="center" wrapText="1"/>
    </xf>
    <xf numFmtId="0" fontId="1" fillId="41" borderId="5" xfId="0" applyFont="1" applyFill="1" applyBorder="1" applyAlignment="1">
      <alignment horizontal="center" wrapText="1"/>
    </xf>
    <xf numFmtId="0" fontId="3" fillId="44" borderId="0" xfId="0" applyFont="1" applyFill="1" applyAlignment="1">
      <alignment horizontal="center"/>
    </xf>
  </cellXfs>
  <cellStyles count="10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[0] 2" xfId="29" xr:uid="{00000000-0005-0000-0000-00001C000000}"/>
    <cellStyle name="Comma 10" xfId="30" xr:uid="{00000000-0005-0000-0000-00001D000000}"/>
    <cellStyle name="Comma 11" xfId="31" xr:uid="{00000000-0005-0000-0000-00001E000000}"/>
    <cellStyle name="Comma 12" xfId="32" xr:uid="{00000000-0005-0000-0000-00001F000000}"/>
    <cellStyle name="Comma 13" xfId="33" xr:uid="{00000000-0005-0000-0000-000020000000}"/>
    <cellStyle name="Comma 14" xfId="34" xr:uid="{00000000-0005-0000-0000-000021000000}"/>
    <cellStyle name="Comma 15" xfId="35" xr:uid="{00000000-0005-0000-0000-000022000000}"/>
    <cellStyle name="Comma 16" xfId="36" xr:uid="{00000000-0005-0000-0000-000023000000}"/>
    <cellStyle name="Comma 17" xfId="37" xr:uid="{00000000-0005-0000-0000-000024000000}"/>
    <cellStyle name="Comma 18" xfId="81" xr:uid="{00000000-0005-0000-0000-000025000000}"/>
    <cellStyle name="Comma 19" xfId="90" xr:uid="{00000000-0005-0000-0000-000026000000}"/>
    <cellStyle name="Comma 2" xfId="38" xr:uid="{00000000-0005-0000-0000-000027000000}"/>
    <cellStyle name="Comma 20" xfId="95" xr:uid="{00000000-0005-0000-0000-000028000000}"/>
    <cellStyle name="Comma 21" xfId="97" xr:uid="{00000000-0005-0000-0000-000029000000}"/>
    <cellStyle name="Comma 22" xfId="91" xr:uid="{00000000-0005-0000-0000-00002A000000}"/>
    <cellStyle name="Comma 23" xfId="93" xr:uid="{00000000-0005-0000-0000-00002B000000}"/>
    <cellStyle name="Comma 24" xfId="92" xr:uid="{00000000-0005-0000-0000-00002C000000}"/>
    <cellStyle name="Comma 25" xfId="94" xr:uid="{00000000-0005-0000-0000-00002D000000}"/>
    <cellStyle name="Comma 26" xfId="96" xr:uid="{00000000-0005-0000-0000-00002E000000}"/>
    <cellStyle name="Comma 27" xfId="98" xr:uid="{00000000-0005-0000-0000-00002F000000}"/>
    <cellStyle name="Comma 28" xfId="102" xr:uid="{00000000-0005-0000-0000-000030000000}"/>
    <cellStyle name="Comma 3" xfId="39" xr:uid="{00000000-0005-0000-0000-000031000000}"/>
    <cellStyle name="Comma 4" xfId="40" xr:uid="{00000000-0005-0000-0000-000032000000}"/>
    <cellStyle name="Comma 5" xfId="41" xr:uid="{00000000-0005-0000-0000-000033000000}"/>
    <cellStyle name="Comma 6" xfId="42" xr:uid="{00000000-0005-0000-0000-000034000000}"/>
    <cellStyle name="Comma 7" xfId="43" xr:uid="{00000000-0005-0000-0000-000035000000}"/>
    <cellStyle name="Comma 8" xfId="44" xr:uid="{00000000-0005-0000-0000-000036000000}"/>
    <cellStyle name="Comma 9" xfId="45" xr:uid="{00000000-0005-0000-0000-000037000000}"/>
    <cellStyle name="Currency [0] 2" xfId="46" xr:uid="{00000000-0005-0000-0000-000038000000}"/>
    <cellStyle name="Currency 10" xfId="47" xr:uid="{00000000-0005-0000-0000-000039000000}"/>
    <cellStyle name="Currency 11" xfId="48" xr:uid="{00000000-0005-0000-0000-00003A000000}"/>
    <cellStyle name="Currency 12" xfId="49" xr:uid="{00000000-0005-0000-0000-00003B000000}"/>
    <cellStyle name="Currency 13" xfId="50" xr:uid="{00000000-0005-0000-0000-00003C000000}"/>
    <cellStyle name="Currency 14" xfId="51" xr:uid="{00000000-0005-0000-0000-00003D000000}"/>
    <cellStyle name="Currency 15" xfId="52" xr:uid="{00000000-0005-0000-0000-00003E000000}"/>
    <cellStyle name="Currency 16" xfId="53" xr:uid="{00000000-0005-0000-0000-00003F000000}"/>
    <cellStyle name="Currency 17" xfId="54" xr:uid="{00000000-0005-0000-0000-000040000000}"/>
    <cellStyle name="Currency 18" xfId="83" xr:uid="{00000000-0005-0000-0000-000041000000}"/>
    <cellStyle name="Currency 19" xfId="84" xr:uid="{00000000-0005-0000-0000-000042000000}"/>
    <cellStyle name="Currency 2" xfId="55" xr:uid="{00000000-0005-0000-0000-000043000000}"/>
    <cellStyle name="Currency 20" xfId="89" xr:uid="{00000000-0005-0000-0000-000044000000}"/>
    <cellStyle name="Currency 21" xfId="87" xr:uid="{00000000-0005-0000-0000-000045000000}"/>
    <cellStyle name="Currency 22" xfId="86" xr:uid="{00000000-0005-0000-0000-000046000000}"/>
    <cellStyle name="Currency 23" xfId="88" xr:uid="{00000000-0005-0000-0000-000047000000}"/>
    <cellStyle name="Currency 24" xfId="82" xr:uid="{00000000-0005-0000-0000-000048000000}"/>
    <cellStyle name="Currency 25" xfId="85" xr:uid="{00000000-0005-0000-0000-000049000000}"/>
    <cellStyle name="Currency 26" xfId="80" xr:uid="{00000000-0005-0000-0000-00004A000000}"/>
    <cellStyle name="Currency 27" xfId="99" xr:uid="{00000000-0005-0000-0000-00004B000000}"/>
    <cellStyle name="Currency 28" xfId="101" xr:uid="{00000000-0005-0000-0000-00004C000000}"/>
    <cellStyle name="Currency 3" xfId="56" xr:uid="{00000000-0005-0000-0000-00004D000000}"/>
    <cellStyle name="Currency 4" xfId="57" xr:uid="{00000000-0005-0000-0000-00004E000000}"/>
    <cellStyle name="Currency 5" xfId="58" xr:uid="{00000000-0005-0000-0000-00004F000000}"/>
    <cellStyle name="Currency 6" xfId="59" xr:uid="{00000000-0005-0000-0000-000050000000}"/>
    <cellStyle name="Currency 7" xfId="60" xr:uid="{00000000-0005-0000-0000-000051000000}"/>
    <cellStyle name="Currency 8" xfId="61" xr:uid="{00000000-0005-0000-0000-000052000000}"/>
    <cellStyle name="Currency 9" xfId="62" xr:uid="{00000000-0005-0000-0000-000053000000}"/>
    <cellStyle name="Explanatory Text 2" xfId="63" xr:uid="{00000000-0005-0000-0000-000054000000}"/>
    <cellStyle name="Good 2" xfId="64" xr:uid="{00000000-0005-0000-0000-000055000000}"/>
    <cellStyle name="Heading 1 2" xfId="65" xr:uid="{00000000-0005-0000-0000-000056000000}"/>
    <cellStyle name="Heading 2 2" xfId="66" xr:uid="{00000000-0005-0000-0000-000057000000}"/>
    <cellStyle name="Heading 3 2" xfId="67" xr:uid="{00000000-0005-0000-0000-000058000000}"/>
    <cellStyle name="Heading 4 2" xfId="68" xr:uid="{00000000-0005-0000-0000-000059000000}"/>
    <cellStyle name="Hyperlink" xfId="79" builtinId="8"/>
    <cellStyle name="Input 2" xfId="69" xr:uid="{00000000-0005-0000-0000-00005B000000}"/>
    <cellStyle name="Linked Cell 2" xfId="70" xr:uid="{00000000-0005-0000-0000-00005C000000}"/>
    <cellStyle name="Neutral 2" xfId="71" xr:uid="{00000000-0005-0000-0000-00005D000000}"/>
    <cellStyle name="Normal" xfId="0" builtinId="0"/>
    <cellStyle name="Normal 2" xfId="72" xr:uid="{00000000-0005-0000-0000-00005F000000}"/>
    <cellStyle name="Note 2" xfId="73" xr:uid="{00000000-0005-0000-0000-000060000000}"/>
    <cellStyle name="Output 2" xfId="74" xr:uid="{00000000-0005-0000-0000-000061000000}"/>
    <cellStyle name="Percent 2" xfId="75" xr:uid="{00000000-0005-0000-0000-000062000000}"/>
    <cellStyle name="Title 2" xfId="76" xr:uid="{00000000-0005-0000-0000-000063000000}"/>
    <cellStyle name="Title 3" xfId="100" xr:uid="{00000000-0005-0000-0000-000064000000}"/>
    <cellStyle name="Total 2" xfId="77" xr:uid="{00000000-0005-0000-0000-000065000000}"/>
    <cellStyle name="Warning Text 2" xfId="78" xr:uid="{00000000-0005-0000-0000-000066000000}"/>
  </cellStyles>
  <dxfs count="329">
    <dxf>
      <fill>
        <patternFill>
          <bgColor rgb="FFFFCCFF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 val="0"/>
        <color auto="1"/>
      </font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FF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CFF"/>
        </patternFill>
      </fill>
    </dxf>
    <dxf>
      <font>
        <strike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strike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strike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strike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CFF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E4DFE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strike val="0"/>
        <color auto="1"/>
      </font>
      <fill>
        <patternFill>
          <bgColor theme="7" tint="0.79998168889431442"/>
        </patternFill>
      </fill>
    </dxf>
    <dxf>
      <font>
        <strike/>
      </font>
    </dxf>
    <dxf>
      <fill>
        <patternFill>
          <bgColor theme="6" tint="0.79998168889431442"/>
        </patternFill>
      </fill>
    </dxf>
    <dxf>
      <fill>
        <patternFill>
          <bgColor rgb="FFE4DFEC"/>
        </patternFill>
      </fill>
    </dxf>
    <dxf>
      <fill>
        <patternFill>
          <bgColor rgb="FFFFCCFF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  <fill>
        <patternFill>
          <bgColor rgb="FF66FF3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rgb="FF66FF33"/>
        </patternFill>
      </fill>
    </dxf>
    <dxf>
      <font>
        <color auto="1"/>
      </font>
    </dxf>
    <dxf>
      <font>
        <color auto="1"/>
      </font>
    </dxf>
    <dxf>
      <font>
        <color rgb="FFFF99FF"/>
      </font>
      <fill>
        <gradientFill type="path">
          <stop position="0">
            <color theme="0"/>
          </stop>
          <stop position="1">
            <color rgb="FFFF99FF"/>
          </stop>
        </gradient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ont>
        <color rgb="FF00B050"/>
      </font>
    </dxf>
    <dxf>
      <font>
        <color rgb="FF00B05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gradientFill type="path">
          <stop position="0">
            <color theme="6" tint="-0.25098422193060094"/>
          </stop>
          <stop position="1">
            <color rgb="FFFFC000"/>
          </stop>
        </gradientFill>
      </fill>
    </dxf>
    <dxf>
      <font>
        <color rgb="FFFF0000"/>
      </font>
      <fill>
        <patternFill>
          <bgColor rgb="FF66FF66"/>
        </patternFill>
      </fill>
    </dxf>
    <dxf>
      <font>
        <color auto="1"/>
      </font>
      <fill>
        <patternFill>
          <bgColor rgb="FFFF00FF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fgColor indexed="64"/>
          <bgColor rgb="FFFF00FF"/>
        </patternFill>
      </fill>
    </dxf>
    <dxf>
      <fill>
        <patternFill>
          <bgColor rgb="FFFFC000"/>
        </patternFill>
      </fill>
      <border>
        <bottom style="thin">
          <color indexed="64"/>
        </bottom>
      </border>
    </dxf>
    <dxf>
      <fill>
        <patternFill>
          <bgColor theme="6" tint="0.59996337778862885"/>
        </patternFill>
      </fill>
      <border>
        <left/>
        <right/>
        <top/>
        <bottom style="thin">
          <color indexed="64"/>
        </bottom>
      </border>
    </dxf>
    <dxf>
      <font>
        <b/>
        <i val="0"/>
        <color theme="0"/>
        <name val="Cambria"/>
        <scheme val="none"/>
      </font>
      <fill>
        <gradientFill type="path" left="0.5" right="0.5" top="0.5" bottom="0.5">
          <stop position="0">
            <color rgb="FF0099FF"/>
          </stop>
          <stop position="1">
            <color rgb="FFFF00FF"/>
          </stop>
        </gradientFill>
      </fill>
    </dxf>
    <dxf>
      <font>
        <b/>
        <i val="0"/>
        <color auto="1"/>
      </font>
      <fill>
        <gradientFill type="path" left="0.5" right="0.5" top="0.5" bottom="0.5">
          <stop position="0">
            <color rgb="FFFFFF00"/>
          </stop>
          <stop position="1">
            <color rgb="FF00FF00"/>
          </stop>
        </gradientFill>
      </fill>
    </dxf>
    <dxf>
      <font>
        <color rgb="FFFF00FF"/>
      </font>
      <fill>
        <gradientFill type="path" left="0.5" right="0.5" top="0.5" bottom="0.5">
          <stop position="0">
            <color rgb="FF00FF00"/>
          </stop>
          <stop position="1">
            <color rgb="FFFFFF00"/>
          </stop>
        </gradientFill>
      </fill>
    </dxf>
    <dxf>
      <font>
        <color auto="1"/>
      </font>
      <fill>
        <patternFill>
          <fgColor indexed="64"/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FF"/>
      <color rgb="FFFFFFCC"/>
      <color rgb="FFFFFFFF"/>
      <color rgb="FFE4DFEC"/>
      <color rgb="FFFFFF99"/>
      <color rgb="FFFF00FF"/>
      <color rgb="FF66FF33"/>
      <color rgb="FF2616FA"/>
      <color rgb="FF7D77FB"/>
      <color rgb="FF52F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inanceisi.weebly.com/downloads.html" TargetMode="External"/><Relationship Id="rId1" Type="http://schemas.openxmlformats.org/officeDocument/2006/relationships/hyperlink" Target="mailto:reimbursements@isionlin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978"/>
  <sheetViews>
    <sheetView zoomScale="78" zoomScaleNormal="78" workbookViewId="0">
      <pane ySplit="1" topLeftCell="A203" activePane="bottomLeft" state="frozen"/>
      <selection pane="bottomLeft" activeCell="G255" sqref="G255"/>
    </sheetView>
  </sheetViews>
  <sheetFormatPr defaultColWidth="9.140625" defaultRowHeight="12.95" customHeight="1" x14ac:dyDescent="0.25"/>
  <cols>
    <col min="1" max="1" width="8.140625" style="245" customWidth="1"/>
    <col min="2" max="2" width="11" style="246" customWidth="1"/>
    <col min="3" max="3" width="10.28515625" style="245" customWidth="1"/>
    <col min="4" max="4" width="38.140625" style="245" bestFit="1" customWidth="1"/>
    <col min="5" max="5" width="7.28515625" style="214" customWidth="1"/>
    <col min="6" max="6" width="9.42578125" style="214" customWidth="1"/>
    <col min="7" max="7" width="5.28515625" style="214" customWidth="1"/>
    <col min="8" max="8" width="11.42578125" style="214" customWidth="1"/>
    <col min="9" max="9" width="17.7109375" style="214" bestFit="1" customWidth="1"/>
    <col min="10" max="10" width="3.85546875" style="256" customWidth="1"/>
    <col min="11" max="11" width="3.85546875" style="214" customWidth="1"/>
    <col min="12" max="12" width="21.85546875" style="349" bestFit="1" customWidth="1"/>
    <col min="13" max="13" width="16.5703125" style="507" customWidth="1"/>
    <col min="14" max="14" width="23.42578125" style="508" customWidth="1"/>
    <col min="15" max="15" width="30.28515625" style="509" customWidth="1"/>
    <col min="16" max="16" width="16.5703125" style="508" customWidth="1"/>
    <col min="17" max="17" width="9.140625" style="214"/>
    <col min="18" max="18" width="9.140625" style="256"/>
    <col min="19" max="19" width="9.140625" style="214"/>
    <col min="20" max="20" width="15" style="346" customWidth="1"/>
    <col min="21" max="21" width="21.28515625" customWidth="1"/>
    <col min="22" max="22" width="27.42578125" style="346" customWidth="1"/>
    <col min="23" max="16384" width="9.140625" style="214"/>
  </cols>
  <sheetData>
    <row r="1" spans="1:22" ht="28.9" customHeight="1" x14ac:dyDescent="0.4">
      <c r="A1" s="237" t="s">
        <v>693</v>
      </c>
      <c r="B1" s="238" t="s">
        <v>161</v>
      </c>
      <c r="C1" s="239" t="s">
        <v>162</v>
      </c>
      <c r="D1" s="237" t="s">
        <v>694</v>
      </c>
      <c r="E1" s="214" t="s">
        <v>286</v>
      </c>
      <c r="F1" s="237" t="s">
        <v>684</v>
      </c>
      <c r="G1" s="237" t="s">
        <v>689</v>
      </c>
      <c r="H1" s="214" t="s">
        <v>80</v>
      </c>
      <c r="I1" s="240" t="s">
        <v>295</v>
      </c>
      <c r="J1" s="254" t="e">
        <f>LEN(#REF!)</f>
        <v>#REF!</v>
      </c>
      <c r="K1" s="241"/>
      <c r="M1" s="505" t="s">
        <v>678</v>
      </c>
      <c r="N1" s="506" t="s">
        <v>516</v>
      </c>
      <c r="O1" s="506" t="s">
        <v>161</v>
      </c>
      <c r="P1" s="505" t="s">
        <v>700</v>
      </c>
      <c r="T1" s="345" t="s">
        <v>678</v>
      </c>
      <c r="U1" s="345" t="s">
        <v>516</v>
      </c>
      <c r="V1" s="345" t="s">
        <v>161</v>
      </c>
    </row>
    <row r="2" spans="1:22" ht="12.95" customHeight="1" x14ac:dyDescent="0.2">
      <c r="A2" s="242" t="s">
        <v>160</v>
      </c>
      <c r="B2" s="241"/>
      <c r="C2" s="243"/>
      <c r="D2" s="241"/>
      <c r="F2" s="241">
        <v>0</v>
      </c>
      <c r="G2" s="240" t="s">
        <v>850</v>
      </c>
      <c r="H2" s="240" t="s">
        <v>502</v>
      </c>
      <c r="I2" s="240" t="s">
        <v>296</v>
      </c>
      <c r="J2" s="255" t="e">
        <f>SEARCH("(",#REF!,1)</f>
        <v>#REF!</v>
      </c>
      <c r="K2" s="244"/>
      <c r="L2" s="350" t="s">
        <v>160</v>
      </c>
      <c r="M2" s="507" t="s">
        <v>160</v>
      </c>
    </row>
    <row r="3" spans="1:22" ht="12.95" customHeight="1" x14ac:dyDescent="0.2">
      <c r="A3" s="274">
        <v>1100</v>
      </c>
      <c r="B3" s="241" t="str">
        <f>E3</f>
        <v>EO</v>
      </c>
      <c r="C3" s="243" t="str">
        <f>IFERROR(MID(D3,SEARCH("{",D3,1)+1,SEARCH("}",D3,1)-SEARCH("{",D3,1)-1),"")</f>
        <v>Shaw, Tovar</v>
      </c>
      <c r="D3" s="275" t="s">
        <v>1674</v>
      </c>
      <c r="E3" s="214" t="str">
        <f>LEFT(D3,1)&amp;MID(D3,SEARCH(" ",D3,1)+1,1)</f>
        <v>EO</v>
      </c>
      <c r="F3" s="242">
        <f>A3</f>
        <v>1100</v>
      </c>
      <c r="G3" s="264">
        <v>100</v>
      </c>
      <c r="H3" s="241" t="str">
        <f>LEFT(D3,SEARCH("(",D3,1)-1)</f>
        <v xml:space="preserve">Executive Office </v>
      </c>
      <c r="I3" s="214" t="s">
        <v>846</v>
      </c>
      <c r="J3" s="255" t="e">
        <f>SEARCH(")",#REF!,1)</f>
        <v>#REF!</v>
      </c>
      <c r="K3" s="244"/>
      <c r="L3" s="351" t="str">
        <f>RIGHT(O3,LEN(O3)-SEARCH(" ",O3,1))</f>
        <v>ADRIAN</v>
      </c>
      <c r="M3" s="510">
        <v>5364</v>
      </c>
      <c r="N3" s="511" t="s">
        <v>520</v>
      </c>
      <c r="O3" s="511" t="s">
        <v>521</v>
      </c>
      <c r="P3" s="512" t="s">
        <v>701</v>
      </c>
      <c r="T3" s="347">
        <v>5364</v>
      </c>
      <c r="U3" s="347" t="s">
        <v>520</v>
      </c>
      <c r="V3" s="348" t="s">
        <v>521</v>
      </c>
    </row>
    <row r="4" spans="1:22" ht="12.95" customHeight="1" x14ac:dyDescent="0.2">
      <c r="A4" s="274">
        <v>1101</v>
      </c>
      <c r="B4" s="241" t="str">
        <f t="shared" ref="B4:B70" si="0">E4</f>
        <v>PC</v>
      </c>
      <c r="C4" s="243" t="str">
        <f t="shared" ref="C4:C70" si="1">IFERROR(MID(D4,SEARCH("{",D4,1)+1,SEARCH("}",D4,1)-SEARCH("{",D4,1)-1),"")</f>
        <v>Shaw,Tovar</v>
      </c>
      <c r="D4" s="263" t="s">
        <v>1675</v>
      </c>
      <c r="E4" s="214" t="str">
        <f t="shared" ref="E4:E70" si="2">LEFT(D4,1)&amp;MID(D4,SEARCH(" ",D4,1)+1,1)</f>
        <v>PC</v>
      </c>
      <c r="F4" s="242">
        <f t="shared" ref="F4:F70" si="3">A4</f>
        <v>1101</v>
      </c>
      <c r="G4" s="264">
        <v>100</v>
      </c>
      <c r="H4" s="241" t="str">
        <f t="shared" ref="H4:H67" si="4">LEFT(D4,SEARCH("(",D4,1)-1)</f>
        <v xml:space="preserve">President's Contingency </v>
      </c>
      <c r="I4" s="214" t="s">
        <v>846</v>
      </c>
      <c r="J4" s="256" t="e">
        <f>MID(#REF!,4,1)</f>
        <v>#REF!</v>
      </c>
      <c r="L4" s="351" t="str">
        <f>RIGHT(O4,LEN(O4)-SEARCH(" ",O4,1))</f>
        <v>AINSWORTH</v>
      </c>
      <c r="M4" s="512">
        <v>5145</v>
      </c>
      <c r="N4" s="511" t="s">
        <v>1770</v>
      </c>
      <c r="O4" s="511" t="s">
        <v>1114</v>
      </c>
      <c r="P4" s="512" t="s">
        <v>701</v>
      </c>
      <c r="T4" s="348">
        <v>5145</v>
      </c>
      <c r="U4" s="348" t="s">
        <v>1113</v>
      </c>
      <c r="V4" s="348" t="s">
        <v>1114</v>
      </c>
    </row>
    <row r="5" spans="1:22" ht="12.95" customHeight="1" x14ac:dyDescent="0.2">
      <c r="A5" s="274">
        <v>1605</v>
      </c>
      <c r="B5" s="241" t="str">
        <f t="shared" si="0"/>
        <v>BI</v>
      </c>
      <c r="C5" s="243" t="str">
        <f t="shared" si="1"/>
        <v>Shaw, Tover</v>
      </c>
      <c r="D5" s="263" t="s">
        <v>1676</v>
      </c>
      <c r="E5" s="214" t="str">
        <f t="shared" si="2"/>
        <v>BI</v>
      </c>
      <c r="F5" s="242">
        <f t="shared" si="3"/>
        <v>1605</v>
      </c>
      <c r="G5" s="264">
        <v>200</v>
      </c>
      <c r="H5" s="241" t="str">
        <f t="shared" si="4"/>
        <v xml:space="preserve">Building Initiative </v>
      </c>
      <c r="I5" s="241" t="s">
        <v>846</v>
      </c>
      <c r="L5" s="351" t="str">
        <f t="shared" ref="L5:L68" si="5">RIGHT(O5,LEN(O5)-SEARCH(" ",O5,1))</f>
        <v>AKHTAR</v>
      </c>
      <c r="M5" s="512">
        <v>5317</v>
      </c>
      <c r="N5" s="511" t="s">
        <v>1115</v>
      </c>
      <c r="O5" s="511" t="s">
        <v>629</v>
      </c>
      <c r="P5" s="512" t="s">
        <v>701</v>
      </c>
      <c r="T5" s="348">
        <v>5317</v>
      </c>
      <c r="U5" s="348" t="s">
        <v>1115</v>
      </c>
      <c r="V5" s="348" t="s">
        <v>629</v>
      </c>
    </row>
    <row r="6" spans="1:22" ht="12.95" customHeight="1" x14ac:dyDescent="0.2">
      <c r="A6" s="274">
        <v>2101</v>
      </c>
      <c r="B6" s="241" t="str">
        <f t="shared" si="0"/>
        <v>MD</v>
      </c>
      <c r="C6" s="243" t="str">
        <f t="shared" si="1"/>
        <v>Decker</v>
      </c>
      <c r="D6" s="263" t="s">
        <v>718</v>
      </c>
      <c r="E6" s="214" t="str">
        <f t="shared" si="2"/>
        <v>MD</v>
      </c>
      <c r="F6" s="242">
        <f t="shared" si="3"/>
        <v>2101</v>
      </c>
      <c r="G6" s="264">
        <v>100</v>
      </c>
      <c r="H6" s="241" t="str">
        <f t="shared" si="4"/>
        <v xml:space="preserve">Ministry Department </v>
      </c>
      <c r="I6" s="241" t="s">
        <v>846</v>
      </c>
      <c r="L6" s="351" t="str">
        <f t="shared" si="5"/>
        <v>ALLEN</v>
      </c>
      <c r="M6" s="512">
        <v>5764</v>
      </c>
      <c r="N6" s="511" t="s">
        <v>1116</v>
      </c>
      <c r="O6" s="511" t="s">
        <v>621</v>
      </c>
      <c r="P6" s="512" t="s">
        <v>701</v>
      </c>
      <c r="T6" s="348">
        <v>5764</v>
      </c>
      <c r="U6" s="348" t="s">
        <v>1116</v>
      </c>
      <c r="V6" s="348" t="s">
        <v>621</v>
      </c>
    </row>
    <row r="7" spans="1:22" ht="12.95" customHeight="1" x14ac:dyDescent="0.2">
      <c r="A7" s="274">
        <v>2102</v>
      </c>
      <c r="B7" s="241" t="str">
        <f t="shared" si="0"/>
        <v>NT</v>
      </c>
      <c r="C7" s="243" t="str">
        <f t="shared" si="1"/>
        <v>Decker</v>
      </c>
      <c r="D7" s="263" t="s">
        <v>719</v>
      </c>
      <c r="E7" s="214" t="str">
        <f t="shared" si="2"/>
        <v>NT</v>
      </c>
      <c r="F7" s="242">
        <f t="shared" si="3"/>
        <v>2102</v>
      </c>
      <c r="G7" s="264">
        <v>100</v>
      </c>
      <c r="H7" s="241" t="str">
        <f t="shared" si="4"/>
        <v xml:space="preserve">National Training Department </v>
      </c>
      <c r="I7" s="241" t="s">
        <v>846</v>
      </c>
      <c r="L7" s="351" t="str">
        <f t="shared" si="5"/>
        <v>ALTHOUSE</v>
      </c>
      <c r="M7" s="512">
        <v>5391</v>
      </c>
      <c r="N7" s="511" t="s">
        <v>1117</v>
      </c>
      <c r="O7" s="511" t="s">
        <v>659</v>
      </c>
      <c r="P7" s="512" t="s">
        <v>701</v>
      </c>
      <c r="T7" s="348">
        <v>5391</v>
      </c>
      <c r="U7" s="348" t="s">
        <v>1117</v>
      </c>
      <c r="V7" s="348" t="s">
        <v>659</v>
      </c>
    </row>
    <row r="8" spans="1:22" ht="12.95" customHeight="1" x14ac:dyDescent="0.2">
      <c r="A8" s="274">
        <v>2104</v>
      </c>
      <c r="B8" s="241" t="str">
        <f t="shared" si="0"/>
        <v>PS</v>
      </c>
      <c r="C8" s="243" t="str">
        <f t="shared" si="1"/>
        <v>Teresa</v>
      </c>
      <c r="D8" s="263" t="s">
        <v>1673</v>
      </c>
      <c r="E8" s="214" t="str">
        <f t="shared" si="2"/>
        <v>PS</v>
      </c>
      <c r="F8" s="242">
        <f t="shared" si="3"/>
        <v>2104</v>
      </c>
      <c r="G8" s="264">
        <v>100</v>
      </c>
      <c r="H8" s="241" t="str">
        <f t="shared" si="4"/>
        <v xml:space="preserve">People Services </v>
      </c>
      <c r="I8" s="241" t="s">
        <v>846</v>
      </c>
      <c r="L8" s="351" t="str">
        <f t="shared" si="5"/>
        <v>ALTIZER</v>
      </c>
      <c r="M8" s="512">
        <v>5000</v>
      </c>
      <c r="N8" s="511" t="s">
        <v>1118</v>
      </c>
      <c r="O8" s="511" t="s">
        <v>599</v>
      </c>
      <c r="P8" s="512" t="s">
        <v>701</v>
      </c>
      <c r="T8" s="348">
        <v>5000</v>
      </c>
      <c r="U8" s="348" t="s">
        <v>1118</v>
      </c>
      <c r="V8" s="348" t="s">
        <v>599</v>
      </c>
    </row>
    <row r="9" spans="1:22" ht="12.95" customHeight="1" x14ac:dyDescent="0.2">
      <c r="A9" s="274">
        <v>2301</v>
      </c>
      <c r="B9" s="241" t="str">
        <f t="shared" si="0"/>
        <v>WR</v>
      </c>
      <c r="C9" s="243" t="str">
        <f t="shared" si="1"/>
        <v>Zeigler</v>
      </c>
      <c r="D9" s="263" t="s">
        <v>720</v>
      </c>
      <c r="E9" s="214" t="str">
        <f t="shared" si="2"/>
        <v>WR</v>
      </c>
      <c r="F9" s="242">
        <f t="shared" si="3"/>
        <v>2301</v>
      </c>
      <c r="G9" s="264">
        <v>100</v>
      </c>
      <c r="H9" s="241" t="str">
        <f t="shared" si="4"/>
        <v xml:space="preserve">Western Region  </v>
      </c>
      <c r="I9" s="241" t="s">
        <v>846</v>
      </c>
      <c r="L9" s="351" t="str">
        <f t="shared" si="5"/>
        <v>OR RUTH ALUMBAUGH</v>
      </c>
      <c r="M9" s="512">
        <v>5141</v>
      </c>
      <c r="N9" s="511" t="s">
        <v>1119</v>
      </c>
      <c r="O9" s="511" t="s">
        <v>1120</v>
      </c>
      <c r="P9" s="512" t="s">
        <v>701</v>
      </c>
      <c r="T9" s="348">
        <v>5141</v>
      </c>
      <c r="U9" s="348" t="s">
        <v>1119</v>
      </c>
      <c r="V9" s="348" t="s">
        <v>1120</v>
      </c>
    </row>
    <row r="10" spans="1:22" ht="12.95" customHeight="1" x14ac:dyDescent="0.2">
      <c r="A10" s="274">
        <v>2302</v>
      </c>
      <c r="B10" s="241" t="str">
        <f t="shared" si="0"/>
        <v>S/</v>
      </c>
      <c r="C10" s="243" t="str">
        <f t="shared" si="1"/>
        <v>Germann</v>
      </c>
      <c r="D10" s="263" t="s">
        <v>721</v>
      </c>
      <c r="E10" s="214" t="str">
        <f t="shared" si="2"/>
        <v>S/</v>
      </c>
      <c r="F10" s="242">
        <f t="shared" si="3"/>
        <v>2302</v>
      </c>
      <c r="G10" s="264">
        <v>100</v>
      </c>
      <c r="H10" s="241" t="str">
        <f t="shared" si="4"/>
        <v xml:space="preserve">SE / Great Lakes Region </v>
      </c>
      <c r="I10" s="241" t="s">
        <v>846</v>
      </c>
      <c r="L10" s="351" t="str">
        <f t="shared" si="5"/>
        <v>ALUMBAUGH</v>
      </c>
      <c r="M10" s="512">
        <v>5141</v>
      </c>
      <c r="N10" s="511" t="s">
        <v>1121</v>
      </c>
      <c r="O10" s="511" t="s">
        <v>593</v>
      </c>
      <c r="P10" s="512" t="s">
        <v>701</v>
      </c>
      <c r="T10" s="348">
        <v>5141</v>
      </c>
      <c r="U10" s="348" t="s">
        <v>1121</v>
      </c>
      <c r="V10" s="348" t="s">
        <v>593</v>
      </c>
    </row>
    <row r="11" spans="1:22" ht="12.95" customHeight="1" x14ac:dyDescent="0.2">
      <c r="A11" s="274">
        <v>2303</v>
      </c>
      <c r="B11" s="241" t="str">
        <f t="shared" si="0"/>
        <v>R&amp;</v>
      </c>
      <c r="C11" s="243" t="str">
        <f t="shared" si="1"/>
        <v>Jackson</v>
      </c>
      <c r="D11" s="263" t="s">
        <v>722</v>
      </c>
      <c r="E11" s="214" t="str">
        <f t="shared" si="2"/>
        <v>R&amp;</v>
      </c>
      <c r="F11" s="242">
        <f t="shared" si="3"/>
        <v>2303</v>
      </c>
      <c r="G11" s="264">
        <v>100</v>
      </c>
      <c r="H11" s="241" t="str">
        <f t="shared" si="4"/>
        <v xml:space="preserve">RM &amp; Plains Region </v>
      </c>
      <c r="I11" s="241" t="s">
        <v>846</v>
      </c>
      <c r="L11" s="351" t="str">
        <f t="shared" si="5"/>
        <v>ANALLA</v>
      </c>
      <c r="M11" s="512"/>
      <c r="N11" s="511" t="s">
        <v>1123</v>
      </c>
      <c r="O11" s="511" t="s">
        <v>1124</v>
      </c>
      <c r="P11" s="512" t="s">
        <v>701</v>
      </c>
      <c r="T11" s="348" t="s">
        <v>1122</v>
      </c>
      <c r="U11" s="348" t="s">
        <v>1123</v>
      </c>
      <c r="V11" s="348" t="s">
        <v>1124</v>
      </c>
    </row>
    <row r="12" spans="1:22" ht="12.95" customHeight="1" x14ac:dyDescent="0.2">
      <c r="A12" s="274">
        <v>2304</v>
      </c>
      <c r="B12" s="241" t="str">
        <f t="shared" si="0"/>
        <v>Do</v>
      </c>
      <c r="C12" s="243" t="str">
        <f t="shared" si="1"/>
        <v/>
      </c>
      <c r="D12" s="265" t="s">
        <v>1066</v>
      </c>
      <c r="E12" s="214" t="str">
        <f t="shared" si="2"/>
        <v>Do</v>
      </c>
      <c r="F12" s="242">
        <f t="shared" si="3"/>
        <v>2304</v>
      </c>
      <c r="G12" s="274">
        <v>100</v>
      </c>
      <c r="H12" s="241" t="str">
        <f t="shared" si="4"/>
        <v xml:space="preserve">Director of Field Develompment </v>
      </c>
      <c r="I12" s="241" t="s">
        <v>846</v>
      </c>
      <c r="L12" s="351" t="str">
        <f t="shared" si="5"/>
        <v>ANTHONY</v>
      </c>
      <c r="M12" s="512">
        <v>5394</v>
      </c>
      <c r="N12" s="511" t="s">
        <v>1126</v>
      </c>
      <c r="O12" s="511" t="s">
        <v>576</v>
      </c>
      <c r="P12" s="512" t="s">
        <v>701</v>
      </c>
      <c r="T12" s="348" t="s">
        <v>1122</v>
      </c>
      <c r="U12" s="348" t="s">
        <v>1451</v>
      </c>
      <c r="V12" s="348" t="s">
        <v>1452</v>
      </c>
    </row>
    <row r="13" spans="1:22" ht="12.95" customHeight="1" x14ac:dyDescent="0.2">
      <c r="A13" s="274">
        <v>2306</v>
      </c>
      <c r="B13" s="241" t="str">
        <f t="shared" si="0"/>
        <v>NR</v>
      </c>
      <c r="C13" s="243" t="str">
        <f t="shared" si="1"/>
        <v>Larson</v>
      </c>
      <c r="D13" s="263" t="s">
        <v>723</v>
      </c>
      <c r="E13" s="214" t="str">
        <f t="shared" si="2"/>
        <v>NR</v>
      </c>
      <c r="F13" s="242">
        <f t="shared" si="3"/>
        <v>2306</v>
      </c>
      <c r="G13" s="264">
        <v>100</v>
      </c>
      <c r="H13" s="241" t="str">
        <f t="shared" si="4"/>
        <v xml:space="preserve">Northeastern Region </v>
      </c>
      <c r="I13" s="241" t="s">
        <v>846</v>
      </c>
      <c r="L13" s="351" t="str">
        <f t="shared" si="5"/>
        <v>ANTONIUK</v>
      </c>
      <c r="M13" s="512">
        <v>5561</v>
      </c>
      <c r="N13" s="511" t="s">
        <v>1771</v>
      </c>
      <c r="O13" s="511" t="s">
        <v>1772</v>
      </c>
      <c r="P13" s="512" t="s">
        <v>701</v>
      </c>
      <c r="T13" s="348">
        <v>5065</v>
      </c>
      <c r="U13" s="348" t="s">
        <v>1125</v>
      </c>
      <c r="V13" s="348" t="s">
        <v>702</v>
      </c>
    </row>
    <row r="14" spans="1:22" ht="12.95" customHeight="1" x14ac:dyDescent="0.2">
      <c r="A14" s="274">
        <v>2500</v>
      </c>
      <c r="B14" s="241" t="str">
        <f t="shared" si="0"/>
        <v>GM</v>
      </c>
      <c r="C14" s="243" t="str">
        <f t="shared" si="1"/>
        <v>Rogers</v>
      </c>
      <c r="D14" s="263" t="s">
        <v>1677</v>
      </c>
      <c r="E14" s="214" t="str">
        <f t="shared" si="2"/>
        <v>GM</v>
      </c>
      <c r="F14" s="242">
        <f t="shared" si="3"/>
        <v>2500</v>
      </c>
      <c r="G14" s="264">
        <v>100</v>
      </c>
      <c r="H14" s="241" t="str">
        <f t="shared" si="4"/>
        <v xml:space="preserve">Global Ministries </v>
      </c>
      <c r="I14" s="241" t="s">
        <v>846</v>
      </c>
      <c r="L14" s="351" t="str">
        <f t="shared" si="5"/>
        <v>&amp; SUE APGAR</v>
      </c>
      <c r="M14" s="512">
        <v>5210</v>
      </c>
      <c r="N14" s="511" t="s">
        <v>1773</v>
      </c>
      <c r="O14" s="511" t="s">
        <v>1774</v>
      </c>
      <c r="P14" s="512" t="s">
        <v>701</v>
      </c>
      <c r="T14" s="348">
        <v>5394</v>
      </c>
      <c r="U14" s="348" t="s">
        <v>1126</v>
      </c>
      <c r="V14" s="348" t="s">
        <v>576</v>
      </c>
    </row>
    <row r="15" spans="1:22" ht="12.95" customHeight="1" x14ac:dyDescent="0.2">
      <c r="A15" s="274">
        <v>2510</v>
      </c>
      <c r="B15" s="241" t="str">
        <f t="shared" si="0"/>
        <v>IS</v>
      </c>
      <c r="C15" s="243" t="str">
        <f t="shared" si="1"/>
        <v/>
      </c>
      <c r="D15" s="263" t="s">
        <v>666</v>
      </c>
      <c r="E15" s="214" t="str">
        <f t="shared" si="2"/>
        <v>IS</v>
      </c>
      <c r="F15" s="242">
        <f t="shared" si="3"/>
        <v>2510</v>
      </c>
      <c r="G15" s="264">
        <v>100</v>
      </c>
      <c r="H15" s="241" t="str">
        <f t="shared" si="4"/>
        <v xml:space="preserve">ISnt'l Singapore </v>
      </c>
      <c r="I15" s="241" t="s">
        <v>846</v>
      </c>
      <c r="L15" s="351" t="str">
        <f t="shared" si="5"/>
        <v>ARANT</v>
      </c>
      <c r="M15" s="512">
        <v>5156</v>
      </c>
      <c r="N15" s="511" t="s">
        <v>1775</v>
      </c>
      <c r="O15" s="511" t="s">
        <v>595</v>
      </c>
      <c r="P15" s="512" t="s">
        <v>701</v>
      </c>
      <c r="T15" s="348">
        <v>5210</v>
      </c>
      <c r="U15" s="348" t="s">
        <v>1127</v>
      </c>
      <c r="V15" s="348" t="s">
        <v>553</v>
      </c>
    </row>
    <row r="16" spans="1:22" ht="12.95" customHeight="1" x14ac:dyDescent="0.2">
      <c r="A16" s="274">
        <v>2520</v>
      </c>
      <c r="B16" s="241" t="str">
        <f t="shared" si="0"/>
        <v>IL</v>
      </c>
      <c r="C16" s="243" t="str">
        <f t="shared" si="1"/>
        <v/>
      </c>
      <c r="D16" s="263" t="s">
        <v>667</v>
      </c>
      <c r="E16" s="214" t="str">
        <f t="shared" si="2"/>
        <v>IL</v>
      </c>
      <c r="F16" s="242">
        <f t="shared" si="3"/>
        <v>2520</v>
      </c>
      <c r="G16" s="264">
        <v>100</v>
      </c>
      <c r="H16" s="241" t="str">
        <f t="shared" si="4"/>
        <v xml:space="preserve">ISI Ltd Hong Kong </v>
      </c>
      <c r="I16" s="241" t="s">
        <v>846</v>
      </c>
      <c r="L16" s="351" t="str">
        <f t="shared" si="5"/>
        <v>ARCHAMBAULT</v>
      </c>
      <c r="M16" s="512"/>
      <c r="N16" s="511" t="s">
        <v>1129</v>
      </c>
      <c r="O16" s="511" t="s">
        <v>1130</v>
      </c>
      <c r="P16" s="512" t="s">
        <v>701</v>
      </c>
      <c r="T16" s="348">
        <v>5210</v>
      </c>
      <c r="U16" s="348" t="s">
        <v>1128</v>
      </c>
      <c r="V16" s="348" t="s">
        <v>653</v>
      </c>
    </row>
    <row r="17" spans="1:22" ht="12.95" customHeight="1" x14ac:dyDescent="0.2">
      <c r="A17" s="274" t="s">
        <v>1672</v>
      </c>
      <c r="B17" s="241"/>
      <c r="C17" s="243"/>
      <c r="D17" s="263"/>
      <c r="F17" s="242"/>
      <c r="G17" s="264"/>
      <c r="H17" s="241"/>
      <c r="I17" s="241" t="s">
        <v>847</v>
      </c>
      <c r="L17" s="351"/>
      <c r="M17" s="512">
        <v>5623</v>
      </c>
      <c r="N17" s="511" t="s">
        <v>1131</v>
      </c>
      <c r="O17" s="511" t="s">
        <v>854</v>
      </c>
      <c r="P17" s="512" t="s">
        <v>701</v>
      </c>
      <c r="T17" s="348"/>
      <c r="U17" s="348"/>
      <c r="V17" s="348"/>
    </row>
    <row r="18" spans="1:22" ht="12.95" customHeight="1" x14ac:dyDescent="0.2">
      <c r="A18" s="274">
        <v>2600</v>
      </c>
      <c r="B18" s="241" t="str">
        <f t="shared" si="0"/>
        <v>Ws</v>
      </c>
      <c r="C18" s="243" t="str">
        <f t="shared" si="1"/>
        <v>R Miller</v>
      </c>
      <c r="D18" s="263" t="s">
        <v>1678</v>
      </c>
      <c r="E18" s="214" t="str">
        <f t="shared" si="2"/>
        <v>Ws</v>
      </c>
      <c r="F18" s="242">
        <f t="shared" si="3"/>
        <v>2600</v>
      </c>
      <c r="G18" s="264">
        <v>100</v>
      </c>
      <c r="H18" s="241" t="str">
        <f t="shared" si="4"/>
        <v xml:space="preserve">Web site/Publications </v>
      </c>
      <c r="I18" s="241" t="s">
        <v>846</v>
      </c>
      <c r="L18" s="351" t="str">
        <f t="shared" si="5"/>
        <v>BABCOCK</v>
      </c>
      <c r="M18" s="512">
        <v>5489</v>
      </c>
      <c r="N18" s="511" t="s">
        <v>1132</v>
      </c>
      <c r="O18" s="511" t="s">
        <v>628</v>
      </c>
      <c r="P18" s="512" t="s">
        <v>701</v>
      </c>
      <c r="T18" s="348" t="s">
        <v>1122</v>
      </c>
      <c r="U18" s="348" t="s">
        <v>1129</v>
      </c>
      <c r="V18" s="348" t="s">
        <v>1130</v>
      </c>
    </row>
    <row r="19" spans="1:22" ht="12.95" customHeight="1" x14ac:dyDescent="0.2">
      <c r="A19" s="274">
        <v>3100</v>
      </c>
      <c r="B19" s="241" t="str">
        <f t="shared" si="0"/>
        <v>O(</v>
      </c>
      <c r="C19" s="243" t="str">
        <f t="shared" si="1"/>
        <v>Tovar</v>
      </c>
      <c r="D19" s="265" t="s">
        <v>1679</v>
      </c>
      <c r="E19" s="214" t="str">
        <f t="shared" si="2"/>
        <v>O(</v>
      </c>
      <c r="F19" s="242">
        <f t="shared" si="3"/>
        <v>3100</v>
      </c>
      <c r="G19" s="274">
        <v>100</v>
      </c>
      <c r="H19" s="241" t="str">
        <f t="shared" si="4"/>
        <v xml:space="preserve">Operations </v>
      </c>
      <c r="I19" s="241" t="s">
        <v>846</v>
      </c>
      <c r="L19" s="351" t="str">
        <f t="shared" si="5"/>
        <v>BAKER</v>
      </c>
      <c r="M19" s="512">
        <v>5660</v>
      </c>
      <c r="N19" s="511" t="s">
        <v>1133</v>
      </c>
      <c r="O19" s="511" t="s">
        <v>566</v>
      </c>
      <c r="P19" s="512" t="s">
        <v>701</v>
      </c>
      <c r="T19" s="348">
        <v>5623</v>
      </c>
      <c r="U19" s="348" t="s">
        <v>1131</v>
      </c>
      <c r="V19" s="348" t="s">
        <v>854</v>
      </c>
    </row>
    <row r="20" spans="1:22" ht="12.95" customHeight="1" x14ac:dyDescent="0.2">
      <c r="A20" s="274">
        <v>3111</v>
      </c>
      <c r="B20" s="241" t="str">
        <f t="shared" si="0"/>
        <v>WR</v>
      </c>
      <c r="C20" s="243" t="str">
        <f t="shared" si="1"/>
        <v>Zeigler</v>
      </c>
      <c r="D20" s="265" t="s">
        <v>1680</v>
      </c>
      <c r="E20" s="214" t="str">
        <f t="shared" si="2"/>
        <v>WR</v>
      </c>
      <c r="F20" s="242">
        <f>A20</f>
        <v>3111</v>
      </c>
      <c r="G20" s="274">
        <v>500</v>
      </c>
      <c r="H20" s="241" t="str">
        <f t="shared" si="4"/>
        <v xml:space="preserve">Western Region </v>
      </c>
      <c r="I20" s="241" t="s">
        <v>848</v>
      </c>
      <c r="L20" s="351" t="str">
        <f t="shared" si="5"/>
        <v>&amp; PATTY BASTIAN</v>
      </c>
      <c r="M20" s="512">
        <v>5925</v>
      </c>
      <c r="N20" s="511" t="s">
        <v>1776</v>
      </c>
      <c r="O20" s="511" t="s">
        <v>1777</v>
      </c>
      <c r="P20" s="512" t="s">
        <v>701</v>
      </c>
      <c r="T20" s="348">
        <v>5489</v>
      </c>
      <c r="U20" s="348" t="s">
        <v>1132</v>
      </c>
      <c r="V20" s="348" t="s">
        <v>628</v>
      </c>
    </row>
    <row r="21" spans="1:22" ht="12.95" customHeight="1" x14ac:dyDescent="0.2">
      <c r="A21" s="274">
        <v>3112</v>
      </c>
      <c r="B21" s="241" t="str">
        <f t="shared" si="0"/>
        <v>RM</v>
      </c>
      <c r="C21" s="243" t="str">
        <f t="shared" si="1"/>
        <v>Yabuki</v>
      </c>
      <c r="D21" s="265" t="s">
        <v>1681</v>
      </c>
      <c r="E21" s="214" t="str">
        <f t="shared" si="2"/>
        <v>RM</v>
      </c>
      <c r="F21" s="242">
        <f t="shared" si="3"/>
        <v>3112</v>
      </c>
      <c r="G21" s="274">
        <v>500</v>
      </c>
      <c r="H21" s="241" t="str">
        <f t="shared" si="4"/>
        <v xml:space="preserve">Rocky Mtn Plains </v>
      </c>
      <c r="I21" s="241" t="s">
        <v>848</v>
      </c>
      <c r="L21" s="351" t="str">
        <f t="shared" si="5"/>
        <v>BECKER</v>
      </c>
      <c r="M21" s="512">
        <v>5777</v>
      </c>
      <c r="N21" s="511" t="s">
        <v>1135</v>
      </c>
      <c r="O21" s="511" t="s">
        <v>594</v>
      </c>
      <c r="P21" s="512" t="s">
        <v>701</v>
      </c>
      <c r="T21" s="348">
        <v>5660</v>
      </c>
      <c r="U21" s="348" t="s">
        <v>1133</v>
      </c>
      <c r="V21" s="348" t="s">
        <v>566</v>
      </c>
    </row>
    <row r="22" spans="1:22" ht="12.95" customHeight="1" x14ac:dyDescent="0.2">
      <c r="A22" s="274">
        <v>3115</v>
      </c>
      <c r="B22" s="241" t="str">
        <f t="shared" si="0"/>
        <v>NR</v>
      </c>
      <c r="C22" s="243" t="str">
        <f t="shared" si="1"/>
        <v>Larson</v>
      </c>
      <c r="D22" s="265" t="s">
        <v>888</v>
      </c>
      <c r="E22" s="214" t="str">
        <f t="shared" si="2"/>
        <v>NR</v>
      </c>
      <c r="F22" s="242">
        <f t="shared" si="3"/>
        <v>3115</v>
      </c>
      <c r="G22" s="274">
        <v>500</v>
      </c>
      <c r="H22" s="241" t="str">
        <f t="shared" si="4"/>
        <v xml:space="preserve">Northeastern Region </v>
      </c>
      <c r="I22" s="241" t="s">
        <v>848</v>
      </c>
      <c r="L22" s="351" t="str">
        <f t="shared" si="5"/>
        <v>BELL</v>
      </c>
      <c r="M22" s="512">
        <v>5666</v>
      </c>
      <c r="N22" s="511" t="s">
        <v>1136</v>
      </c>
      <c r="O22" s="511" t="s">
        <v>1778</v>
      </c>
      <c r="P22" s="512" t="s">
        <v>701</v>
      </c>
      <c r="T22" s="348">
        <v>5925</v>
      </c>
      <c r="U22" s="348" t="s">
        <v>1085</v>
      </c>
      <c r="V22" s="348" t="s">
        <v>1134</v>
      </c>
    </row>
    <row r="23" spans="1:22" ht="12.95" customHeight="1" x14ac:dyDescent="0.2">
      <c r="A23" s="274">
        <v>3117</v>
      </c>
      <c r="B23" s="241" t="str">
        <f t="shared" si="0"/>
        <v>SG</v>
      </c>
      <c r="C23" s="243" t="str">
        <f t="shared" si="1"/>
        <v>Germann</v>
      </c>
      <c r="D23" s="265" t="s">
        <v>1682</v>
      </c>
      <c r="E23" s="214" t="str">
        <f t="shared" si="2"/>
        <v>SG</v>
      </c>
      <c r="F23" s="242">
        <f t="shared" si="3"/>
        <v>3117</v>
      </c>
      <c r="G23" s="264">
        <v>500</v>
      </c>
      <c r="H23" s="241" t="str">
        <f t="shared" si="4"/>
        <v xml:space="preserve">Southern Great Lakes Region </v>
      </c>
      <c r="I23" s="241" t="s">
        <v>848</v>
      </c>
      <c r="L23" s="351" t="str">
        <f t="shared" si="5"/>
        <v>&amp; LINDA BERGER</v>
      </c>
      <c r="M23" s="512">
        <v>5581</v>
      </c>
      <c r="N23" s="511" t="s">
        <v>588</v>
      </c>
      <c r="O23" s="511" t="s">
        <v>1137</v>
      </c>
      <c r="P23" s="512" t="s">
        <v>701</v>
      </c>
      <c r="T23" s="348">
        <v>5777</v>
      </c>
      <c r="U23" s="348" t="s">
        <v>1135</v>
      </c>
      <c r="V23" s="348" t="s">
        <v>594</v>
      </c>
    </row>
    <row r="24" spans="1:22" ht="12.95" customHeight="1" x14ac:dyDescent="0.2">
      <c r="A24" s="274">
        <v>3150</v>
      </c>
      <c r="B24" s="241" t="str">
        <f t="shared" si="0"/>
        <v>E&amp;</v>
      </c>
      <c r="C24" s="243" t="str">
        <f t="shared" si="1"/>
        <v>Tovar,Crowell T</v>
      </c>
      <c r="D24" s="265" t="s">
        <v>1683</v>
      </c>
      <c r="E24" s="214" t="str">
        <f t="shared" si="2"/>
        <v>E&amp;</v>
      </c>
      <c r="F24" s="242">
        <f t="shared" si="3"/>
        <v>3150</v>
      </c>
      <c r="G24" s="264">
        <v>100</v>
      </c>
      <c r="H24" s="241" t="str">
        <f t="shared" si="4"/>
        <v xml:space="preserve">Expansion &amp; Recruitment </v>
      </c>
      <c r="I24" s="241" t="s">
        <v>846</v>
      </c>
      <c r="L24" s="351" t="str">
        <f t="shared" si="5"/>
        <v>Jeff &amp; Michiko</v>
      </c>
      <c r="M24" s="512">
        <v>5550</v>
      </c>
      <c r="N24" s="511" t="s">
        <v>1779</v>
      </c>
      <c r="O24" s="511" t="s">
        <v>1138</v>
      </c>
      <c r="P24" s="512" t="s">
        <v>701</v>
      </c>
      <c r="T24" s="348">
        <v>5666</v>
      </c>
      <c r="U24" s="348" t="s">
        <v>1136</v>
      </c>
      <c r="V24" s="348" t="s">
        <v>891</v>
      </c>
    </row>
    <row r="25" spans="1:22" ht="12.95" customHeight="1" x14ac:dyDescent="0.2">
      <c r="A25" s="274">
        <v>3200</v>
      </c>
      <c r="B25" s="241" t="str">
        <f t="shared" si="0"/>
        <v>F(</v>
      </c>
      <c r="C25" s="243" t="str">
        <f t="shared" si="1"/>
        <v>Waldie</v>
      </c>
      <c r="D25" s="265" t="s">
        <v>1684</v>
      </c>
      <c r="E25" s="214" t="str">
        <f t="shared" si="2"/>
        <v>F(</v>
      </c>
      <c r="F25" s="242">
        <f t="shared" si="3"/>
        <v>3200</v>
      </c>
      <c r="G25" s="264">
        <v>100</v>
      </c>
      <c r="H25" s="241" t="str">
        <f t="shared" si="4"/>
        <v xml:space="preserve">Finance </v>
      </c>
      <c r="I25" s="241" t="s">
        <v>846</v>
      </c>
      <c r="L25" s="351" t="str">
        <f t="shared" si="5"/>
        <v>&amp; ROD BEVAN</v>
      </c>
      <c r="M25" s="512">
        <v>5597</v>
      </c>
      <c r="N25" s="511" t="s">
        <v>1139</v>
      </c>
      <c r="O25" s="511" t="s">
        <v>1780</v>
      </c>
      <c r="P25" s="512" t="s">
        <v>701</v>
      </c>
      <c r="T25" s="348">
        <v>5581</v>
      </c>
      <c r="U25" s="348" t="s">
        <v>588</v>
      </c>
      <c r="V25" s="348" t="s">
        <v>1137</v>
      </c>
    </row>
    <row r="26" spans="1:22" ht="12.95" customHeight="1" x14ac:dyDescent="0.2">
      <c r="A26" s="274">
        <v>3290</v>
      </c>
      <c r="B26" s="241" t="str">
        <f t="shared" si="0"/>
        <v>II</v>
      </c>
      <c r="C26" s="243" t="str">
        <f t="shared" si="1"/>
        <v/>
      </c>
      <c r="D26" s="265" t="s">
        <v>724</v>
      </c>
      <c r="E26" s="214" t="str">
        <f t="shared" si="2"/>
        <v>II</v>
      </c>
      <c r="F26" s="242">
        <f t="shared" si="3"/>
        <v>3290</v>
      </c>
      <c r="G26" s="264">
        <v>100</v>
      </c>
      <c r="H26" s="241" t="str">
        <f t="shared" si="4"/>
        <v xml:space="preserve">Interest/Div Income </v>
      </c>
      <c r="I26" s="241" t="s">
        <v>846</v>
      </c>
      <c r="L26" s="351" t="str">
        <f t="shared" si="5"/>
        <v>BILLINGS</v>
      </c>
      <c r="M26" s="512">
        <v>5584</v>
      </c>
      <c r="N26" s="511" t="s">
        <v>1141</v>
      </c>
      <c r="O26" s="511" t="s">
        <v>855</v>
      </c>
      <c r="P26" s="512" t="s">
        <v>701</v>
      </c>
      <c r="T26" s="348">
        <v>5550</v>
      </c>
      <c r="U26" s="348" t="s">
        <v>716</v>
      </c>
      <c r="V26" s="348" t="s">
        <v>1138</v>
      </c>
    </row>
    <row r="27" spans="1:22" ht="12.95" customHeight="1" x14ac:dyDescent="0.2">
      <c r="A27" s="274">
        <v>3300</v>
      </c>
      <c r="B27" s="241" t="str">
        <f t="shared" si="0"/>
        <v>MA</v>
      </c>
      <c r="C27" s="243" t="str">
        <f t="shared" si="1"/>
        <v>Tovar, Holland</v>
      </c>
      <c r="D27" s="265" t="s">
        <v>1685</v>
      </c>
      <c r="E27" s="214" t="str">
        <f t="shared" si="2"/>
        <v>MA</v>
      </c>
      <c r="F27" s="242">
        <f t="shared" si="3"/>
        <v>3300</v>
      </c>
      <c r="G27" s="264">
        <v>100</v>
      </c>
      <c r="H27" s="241" t="str">
        <f t="shared" si="4"/>
        <v xml:space="preserve">Ministry Advancement  </v>
      </c>
      <c r="I27" s="241" t="s">
        <v>846</v>
      </c>
      <c r="L27" s="351" t="str">
        <f t="shared" si="5"/>
        <v>BLACK</v>
      </c>
      <c r="M27" s="512">
        <v>5619</v>
      </c>
      <c r="N27" s="511" t="s">
        <v>1142</v>
      </c>
      <c r="O27" s="511" t="s">
        <v>856</v>
      </c>
      <c r="P27" s="512" t="s">
        <v>701</v>
      </c>
      <c r="T27" s="348">
        <v>5597</v>
      </c>
      <c r="U27" s="348" t="s">
        <v>1139</v>
      </c>
      <c r="V27" s="348" t="s">
        <v>1140</v>
      </c>
    </row>
    <row r="28" spans="1:22" ht="12.95" customHeight="1" x14ac:dyDescent="0.2">
      <c r="A28" s="274">
        <v>3301</v>
      </c>
      <c r="B28" s="241" t="str">
        <f t="shared" si="0"/>
        <v>SD</v>
      </c>
      <c r="C28" s="243" t="str">
        <f t="shared" si="1"/>
        <v>Shaw, Tovar</v>
      </c>
      <c r="D28" s="265" t="s">
        <v>1686</v>
      </c>
      <c r="E28" s="214" t="str">
        <f t="shared" si="2"/>
        <v>SD</v>
      </c>
      <c r="F28" s="242">
        <f t="shared" si="3"/>
        <v>3301</v>
      </c>
      <c r="G28" s="264">
        <v>100</v>
      </c>
      <c r="H28" s="241" t="str">
        <f t="shared" si="4"/>
        <v xml:space="preserve">San Diego Launch Initiatives </v>
      </c>
      <c r="I28" s="241" t="s">
        <v>846</v>
      </c>
      <c r="L28" s="351" t="str">
        <f t="shared" si="5"/>
        <v>BLACKBURN</v>
      </c>
      <c r="M28" s="512">
        <v>5534</v>
      </c>
      <c r="N28" s="511" t="s">
        <v>1781</v>
      </c>
      <c r="O28" s="511" t="s">
        <v>1782</v>
      </c>
      <c r="P28" s="512" t="s">
        <v>701</v>
      </c>
      <c r="T28" s="348">
        <v>5584</v>
      </c>
      <c r="U28" s="348" t="s">
        <v>1141</v>
      </c>
      <c r="V28" s="348" t="s">
        <v>855</v>
      </c>
    </row>
    <row r="29" spans="1:22" ht="12.95" customHeight="1" x14ac:dyDescent="0.2">
      <c r="A29" s="274">
        <v>3302</v>
      </c>
      <c r="B29" s="241" t="str">
        <f t="shared" si="0"/>
        <v>HL</v>
      </c>
      <c r="C29" s="243" t="str">
        <f t="shared" si="1"/>
        <v>Shaw, Tovar</v>
      </c>
      <c r="D29" s="265" t="s">
        <v>1687</v>
      </c>
      <c r="E29" s="214" t="str">
        <f t="shared" si="2"/>
        <v>HL</v>
      </c>
      <c r="F29" s="242">
        <f t="shared" si="3"/>
        <v>3302</v>
      </c>
      <c r="G29" s="264">
        <v>100</v>
      </c>
      <c r="H29" s="241" t="str">
        <f t="shared" si="4"/>
        <v xml:space="preserve">Houston Launch Initiatives </v>
      </c>
      <c r="I29" s="241" t="s">
        <v>846</v>
      </c>
      <c r="L29" s="351" t="str">
        <f t="shared" si="5"/>
        <v>MARK</v>
      </c>
      <c r="M29" s="512">
        <v>5625</v>
      </c>
      <c r="N29" s="511" t="s">
        <v>1143</v>
      </c>
      <c r="O29" s="511" t="s">
        <v>1143</v>
      </c>
      <c r="P29" s="512" t="s">
        <v>701</v>
      </c>
      <c r="T29" s="348" t="s">
        <v>1122</v>
      </c>
      <c r="U29" s="348" t="s">
        <v>1453</v>
      </c>
      <c r="V29" s="348" t="s">
        <v>1454</v>
      </c>
    </row>
    <row r="30" spans="1:22" ht="12.95" customHeight="1" x14ac:dyDescent="0.2">
      <c r="A30" s="274">
        <v>3303</v>
      </c>
      <c r="B30" s="241" t="str">
        <f t="shared" si="0"/>
        <v>NM</v>
      </c>
      <c r="C30" s="243" t="str">
        <f t="shared" si="1"/>
        <v>Shaw, Tovar</v>
      </c>
      <c r="D30" s="265" t="s">
        <v>1688</v>
      </c>
      <c r="E30" s="214" t="str">
        <f t="shared" si="2"/>
        <v>NM</v>
      </c>
      <c r="F30" s="242">
        <f t="shared" si="3"/>
        <v>3303</v>
      </c>
      <c r="G30" s="264">
        <v>100</v>
      </c>
      <c r="H30" s="241" t="str">
        <f t="shared" si="4"/>
        <v xml:space="preserve">NMF Major Donor Days </v>
      </c>
      <c r="I30" s="241" t="s">
        <v>846</v>
      </c>
      <c r="L30" s="351" t="str">
        <f t="shared" si="5"/>
        <v>ALYNN BOITZ</v>
      </c>
      <c r="M30" s="512">
        <v>5158</v>
      </c>
      <c r="N30" s="511" t="s">
        <v>703</v>
      </c>
      <c r="O30" s="511" t="s">
        <v>769</v>
      </c>
      <c r="P30" s="512" t="s">
        <v>701</v>
      </c>
      <c r="T30" s="348">
        <v>5619</v>
      </c>
      <c r="U30" s="348" t="s">
        <v>1142</v>
      </c>
      <c r="V30" s="348" t="s">
        <v>856</v>
      </c>
    </row>
    <row r="31" spans="1:22" ht="12.95" customHeight="1" x14ac:dyDescent="0.2">
      <c r="A31" s="274">
        <v>5001</v>
      </c>
      <c r="B31" s="241" t="str">
        <f t="shared" si="0"/>
        <v>IN</v>
      </c>
      <c r="C31" s="243" t="str">
        <f t="shared" si="1"/>
        <v>Larson</v>
      </c>
      <c r="D31" s="275" t="s">
        <v>967</v>
      </c>
      <c r="E31" s="214" t="str">
        <f t="shared" si="2"/>
        <v>IN</v>
      </c>
      <c r="F31" s="242">
        <f t="shared" si="3"/>
        <v>5001</v>
      </c>
      <c r="G31" s="264">
        <v>500</v>
      </c>
      <c r="H31" s="241" t="str">
        <f t="shared" si="4"/>
        <v xml:space="preserve">Ithica NY </v>
      </c>
      <c r="I31" s="241" t="s">
        <v>847</v>
      </c>
      <c r="L31" s="351" t="str">
        <f t="shared" si="5"/>
        <v>BOLTON</v>
      </c>
      <c r="M31" s="512">
        <v>2101</v>
      </c>
      <c r="N31" s="511" t="s">
        <v>1145</v>
      </c>
      <c r="O31" s="511" t="s">
        <v>1146</v>
      </c>
      <c r="P31" s="512" t="s">
        <v>701</v>
      </c>
      <c r="T31" s="348">
        <v>5625</v>
      </c>
      <c r="U31" s="348" t="s">
        <v>1143</v>
      </c>
      <c r="V31" s="348" t="s">
        <v>1144</v>
      </c>
    </row>
    <row r="32" spans="1:22" ht="12.95" customHeight="1" x14ac:dyDescent="0.2">
      <c r="A32" s="274">
        <v>5002</v>
      </c>
      <c r="B32" s="241" t="str">
        <f t="shared" si="0"/>
        <v>WN</v>
      </c>
      <c r="C32" s="243" t="str">
        <f t="shared" si="1"/>
        <v>Larson</v>
      </c>
      <c r="D32" s="275" t="s">
        <v>966</v>
      </c>
      <c r="E32" s="214" t="str">
        <f t="shared" si="2"/>
        <v>WN</v>
      </c>
      <c r="F32" s="242">
        <f t="shared" si="3"/>
        <v>5002</v>
      </c>
      <c r="G32" s="264">
        <v>500</v>
      </c>
      <c r="H32" s="241" t="str">
        <f t="shared" si="4"/>
        <v xml:space="preserve">Western NY &amp; PA Event </v>
      </c>
      <c r="I32" s="241" t="s">
        <v>847</v>
      </c>
      <c r="L32" s="351" t="str">
        <f t="shared" si="5"/>
        <v>BOYD</v>
      </c>
      <c r="M32" s="512">
        <v>5434</v>
      </c>
      <c r="N32" s="511" t="s">
        <v>638</v>
      </c>
      <c r="O32" s="511" t="s">
        <v>639</v>
      </c>
      <c r="P32" s="512" t="s">
        <v>701</v>
      </c>
      <c r="T32" s="348">
        <v>5158</v>
      </c>
      <c r="U32" s="348" t="s">
        <v>703</v>
      </c>
      <c r="V32" s="348" t="s">
        <v>769</v>
      </c>
    </row>
    <row r="33" spans="1:22" ht="12.95" customHeight="1" x14ac:dyDescent="0.2">
      <c r="A33" s="274">
        <v>5003</v>
      </c>
      <c r="B33" s="241" t="str">
        <f t="shared" si="0"/>
        <v>MO</v>
      </c>
      <c r="C33" s="243" t="str">
        <f t="shared" si="1"/>
        <v>Zeigler</v>
      </c>
      <c r="D33" s="275" t="s">
        <v>725</v>
      </c>
      <c r="E33" s="214" t="str">
        <f t="shared" si="2"/>
        <v>MO</v>
      </c>
      <c r="F33" s="242">
        <f t="shared" si="3"/>
        <v>5003</v>
      </c>
      <c r="G33" s="274">
        <v>500</v>
      </c>
      <c r="H33" s="241" t="str">
        <f t="shared" si="4"/>
        <v xml:space="preserve">Monmouth OR City </v>
      </c>
      <c r="I33" s="241" t="s">
        <v>847</v>
      </c>
      <c r="L33" s="351" t="str">
        <f t="shared" si="5"/>
        <v>&amp; TRACEY BOYLE</v>
      </c>
      <c r="M33" s="512">
        <v>5342</v>
      </c>
      <c r="N33" s="511" t="s">
        <v>1783</v>
      </c>
      <c r="O33" s="511" t="s">
        <v>1148</v>
      </c>
      <c r="P33" s="512" t="s">
        <v>701</v>
      </c>
      <c r="T33" s="348">
        <v>2101</v>
      </c>
      <c r="U33" s="348" t="s">
        <v>1145</v>
      </c>
      <c r="V33" s="348" t="s">
        <v>1146</v>
      </c>
    </row>
    <row r="34" spans="1:22" ht="12.95" customHeight="1" x14ac:dyDescent="0.2">
      <c r="A34" s="274">
        <v>5004</v>
      </c>
      <c r="B34" s="241" t="str">
        <f t="shared" si="0"/>
        <v>NR</v>
      </c>
      <c r="C34" s="243" t="str">
        <f t="shared" si="1"/>
        <v>Cossette</v>
      </c>
      <c r="D34" s="275" t="s">
        <v>726</v>
      </c>
      <c r="E34" s="214" t="str">
        <f t="shared" si="2"/>
        <v>NR</v>
      </c>
      <c r="F34" s="242">
        <f t="shared" si="3"/>
        <v>5004</v>
      </c>
      <c r="G34" s="274">
        <v>500</v>
      </c>
      <c r="H34" s="241" t="str">
        <f t="shared" si="4"/>
        <v xml:space="preserve">NE Regional Mobilization  </v>
      </c>
      <c r="I34" s="241" t="s">
        <v>847</v>
      </c>
      <c r="L34" s="351" t="str">
        <f t="shared" si="5"/>
        <v>BRAINTWAIN</v>
      </c>
      <c r="M34" s="512">
        <v>5178</v>
      </c>
      <c r="N34" s="511" t="s">
        <v>1149</v>
      </c>
      <c r="O34" s="511" t="s">
        <v>648</v>
      </c>
      <c r="P34" s="512" t="s">
        <v>701</v>
      </c>
      <c r="T34" s="348">
        <v>5434</v>
      </c>
      <c r="U34" s="348" t="s">
        <v>638</v>
      </c>
      <c r="V34" s="348" t="s">
        <v>639</v>
      </c>
    </row>
    <row r="35" spans="1:22" ht="12.95" customHeight="1" x14ac:dyDescent="0.2">
      <c r="A35" s="274">
        <v>5005</v>
      </c>
      <c r="B35" s="241" t="str">
        <f t="shared" si="0"/>
        <v>ET</v>
      </c>
      <c r="C35" s="243" t="str">
        <f t="shared" si="1"/>
        <v>Depalatis</v>
      </c>
      <c r="D35" s="275" t="s">
        <v>727</v>
      </c>
      <c r="E35" s="214" t="str">
        <f t="shared" si="2"/>
        <v>ET</v>
      </c>
      <c r="F35" s="242">
        <f t="shared" si="3"/>
        <v>5005</v>
      </c>
      <c r="G35" s="274">
        <v>200</v>
      </c>
      <c r="H35" s="241" t="str">
        <f t="shared" si="4"/>
        <v xml:space="preserve">Evangeline Tharp Mem. Fnd </v>
      </c>
      <c r="I35" s="241" t="s">
        <v>847</v>
      </c>
      <c r="L35" s="351" t="str">
        <f t="shared" si="5"/>
        <v>&amp; CAROLYN BRANNEN</v>
      </c>
      <c r="M35" s="512">
        <v>5706</v>
      </c>
      <c r="N35" s="511" t="s">
        <v>533</v>
      </c>
      <c r="O35" s="511" t="s">
        <v>1150</v>
      </c>
      <c r="P35" s="512" t="s">
        <v>701</v>
      </c>
      <c r="T35" s="348">
        <v>5342</v>
      </c>
      <c r="U35" s="348" t="s">
        <v>1147</v>
      </c>
      <c r="V35" s="348" t="s">
        <v>1148</v>
      </c>
    </row>
    <row r="36" spans="1:22" ht="12.95" customHeight="1" x14ac:dyDescent="0.2">
      <c r="A36" s="274">
        <v>5006</v>
      </c>
      <c r="B36" s="241" t="str">
        <f t="shared" si="0"/>
        <v>AM</v>
      </c>
      <c r="C36" s="243" t="str">
        <f t="shared" si="1"/>
        <v>Mills</v>
      </c>
      <c r="D36" s="275" t="s">
        <v>1033</v>
      </c>
      <c r="E36" s="214" t="str">
        <f t="shared" si="2"/>
        <v>AM</v>
      </c>
      <c r="F36" s="242">
        <f t="shared" si="3"/>
        <v>5006</v>
      </c>
      <c r="G36" s="264">
        <v>500</v>
      </c>
      <c r="H36" s="241" t="str">
        <f t="shared" si="4"/>
        <v xml:space="preserve">Auraria Ministry </v>
      </c>
      <c r="I36" s="241" t="s">
        <v>847</v>
      </c>
      <c r="L36" s="351" t="str">
        <f t="shared" si="5"/>
        <v>BULL</v>
      </c>
      <c r="M36" s="512">
        <v>5548</v>
      </c>
      <c r="N36" s="511" t="s">
        <v>1153</v>
      </c>
      <c r="O36" s="511" t="s">
        <v>770</v>
      </c>
      <c r="P36" s="512" t="s">
        <v>701</v>
      </c>
      <c r="T36" s="348">
        <v>5178</v>
      </c>
      <c r="U36" s="348" t="s">
        <v>1149</v>
      </c>
      <c r="V36" s="348" t="s">
        <v>648</v>
      </c>
    </row>
    <row r="37" spans="1:22" ht="12.95" customHeight="1" x14ac:dyDescent="0.2">
      <c r="A37" s="274">
        <v>5007</v>
      </c>
      <c r="B37" s="241" t="str">
        <f t="shared" si="0"/>
        <v>LN</v>
      </c>
      <c r="C37" s="243" t="str">
        <f t="shared" si="1"/>
        <v>Spaulding</v>
      </c>
      <c r="D37" s="275" t="s">
        <v>137</v>
      </c>
      <c r="E37" s="214" t="str">
        <f t="shared" si="2"/>
        <v>LN</v>
      </c>
      <c r="F37" s="242">
        <f t="shared" si="3"/>
        <v>5007</v>
      </c>
      <c r="G37" s="264">
        <v>500</v>
      </c>
      <c r="H37" s="241" t="str">
        <f t="shared" si="4"/>
        <v xml:space="preserve">Lincoln NE City </v>
      </c>
      <c r="I37" s="241" t="s">
        <v>847</v>
      </c>
      <c r="L37" s="351" t="str">
        <f t="shared" si="5"/>
        <v>BUNYARD</v>
      </c>
      <c r="M37" s="512">
        <v>5776</v>
      </c>
      <c r="N37" s="511" t="s">
        <v>635</v>
      </c>
      <c r="O37" s="511" t="s">
        <v>636</v>
      </c>
      <c r="P37" s="512" t="s">
        <v>701</v>
      </c>
      <c r="T37" s="348">
        <v>5706</v>
      </c>
      <c r="U37" s="348" t="s">
        <v>533</v>
      </c>
      <c r="V37" s="348" t="s">
        <v>1150</v>
      </c>
    </row>
    <row r="38" spans="1:22" ht="12.95" customHeight="1" x14ac:dyDescent="0.2">
      <c r="A38" s="274">
        <v>5008</v>
      </c>
      <c r="B38" s="241" t="str">
        <f t="shared" si="0"/>
        <v>BI</v>
      </c>
      <c r="C38" s="243" t="str">
        <f t="shared" si="1"/>
        <v>Berger</v>
      </c>
      <c r="D38" s="275" t="s">
        <v>965</v>
      </c>
      <c r="E38" s="214" t="str">
        <f t="shared" si="2"/>
        <v>BI</v>
      </c>
      <c r="F38" s="242">
        <f t="shared" si="3"/>
        <v>5008</v>
      </c>
      <c r="G38" s="274">
        <v>500</v>
      </c>
      <c r="H38" s="241" t="str">
        <f t="shared" si="4"/>
        <v xml:space="preserve">Bloomington/Normal, Illinois </v>
      </c>
      <c r="I38" s="241" t="s">
        <v>847</v>
      </c>
      <c r="L38" s="351" t="str">
        <f t="shared" si="5"/>
        <v>BURNS</v>
      </c>
      <c r="M38" s="512"/>
      <c r="N38" s="511" t="s">
        <v>1154</v>
      </c>
      <c r="O38" s="511" t="s">
        <v>771</v>
      </c>
      <c r="P38" s="512" t="s">
        <v>701</v>
      </c>
      <c r="T38" s="348">
        <v>5514</v>
      </c>
      <c r="U38" s="348" t="s">
        <v>1151</v>
      </c>
      <c r="V38" s="348" t="s">
        <v>1152</v>
      </c>
    </row>
    <row r="39" spans="1:22" ht="12.95" customHeight="1" x14ac:dyDescent="0.2">
      <c r="A39" s="274">
        <v>5009</v>
      </c>
      <c r="B39" s="241" t="str">
        <f t="shared" si="0"/>
        <v>KF</v>
      </c>
      <c r="C39" s="243" t="str">
        <f t="shared" si="1"/>
        <v>Douglass</v>
      </c>
      <c r="D39" s="275" t="s">
        <v>964</v>
      </c>
      <c r="E39" s="214" t="str">
        <f t="shared" si="2"/>
        <v>KF</v>
      </c>
      <c r="F39" s="242">
        <f t="shared" si="3"/>
        <v>5009</v>
      </c>
      <c r="G39" s="274">
        <v>500</v>
      </c>
      <c r="H39" s="241" t="str">
        <f t="shared" si="4"/>
        <v xml:space="preserve">KC Fund Raise Event </v>
      </c>
      <c r="I39" s="241" t="s">
        <v>847</v>
      </c>
      <c r="L39" s="351" t="str">
        <f t="shared" si="5"/>
        <v>BURTON</v>
      </c>
      <c r="M39" s="512">
        <v>5672</v>
      </c>
      <c r="N39" s="511" t="s">
        <v>604</v>
      </c>
      <c r="O39" s="511" t="s">
        <v>605</v>
      </c>
      <c r="P39" s="512" t="s">
        <v>701</v>
      </c>
      <c r="T39" s="348">
        <v>5548</v>
      </c>
      <c r="U39" s="348" t="s">
        <v>1153</v>
      </c>
      <c r="V39" s="348" t="s">
        <v>770</v>
      </c>
    </row>
    <row r="40" spans="1:22" ht="12.95" customHeight="1" x14ac:dyDescent="0.2">
      <c r="A40" s="274">
        <v>5010</v>
      </c>
      <c r="B40" s="241" t="str">
        <f t="shared" si="0"/>
        <v>CS</v>
      </c>
      <c r="C40" s="243" t="str">
        <f t="shared" si="1"/>
        <v>Halverson</v>
      </c>
      <c r="D40" s="275" t="s">
        <v>1044</v>
      </c>
      <c r="E40" s="214" t="str">
        <f t="shared" si="2"/>
        <v>CS</v>
      </c>
      <c r="F40" s="242">
        <f t="shared" si="3"/>
        <v>5010</v>
      </c>
      <c r="G40" s="274">
        <v>500</v>
      </c>
      <c r="H40" s="241" t="str">
        <f t="shared" si="4"/>
        <v xml:space="preserve">Colorado Springs Retreat </v>
      </c>
      <c r="I40" s="241" t="s">
        <v>847</v>
      </c>
      <c r="L40" s="351" t="str">
        <f t="shared" si="5"/>
        <v>BURTON</v>
      </c>
      <c r="M40" s="512">
        <v>5566</v>
      </c>
      <c r="N40" s="511" t="s">
        <v>1155</v>
      </c>
      <c r="O40" s="511" t="s">
        <v>705</v>
      </c>
      <c r="P40" s="512" t="s">
        <v>701</v>
      </c>
      <c r="T40" s="348">
        <v>5776</v>
      </c>
      <c r="U40" s="348" t="s">
        <v>635</v>
      </c>
      <c r="V40" s="348" t="s">
        <v>636</v>
      </c>
    </row>
    <row r="41" spans="1:22" ht="12.95" customHeight="1" x14ac:dyDescent="0.2">
      <c r="A41" s="274">
        <v>5011</v>
      </c>
      <c r="B41" s="241" t="str">
        <f t="shared" si="0"/>
        <v>SF</v>
      </c>
      <c r="C41" s="243" t="str">
        <f t="shared" si="1"/>
        <v>Thomas C</v>
      </c>
      <c r="D41" s="275" t="s">
        <v>472</v>
      </c>
      <c r="E41" s="214" t="str">
        <f t="shared" si="2"/>
        <v>SF</v>
      </c>
      <c r="F41" s="242">
        <f t="shared" si="3"/>
        <v>5011</v>
      </c>
      <c r="G41" s="274">
        <v>500</v>
      </c>
      <c r="H41" s="241" t="str">
        <f t="shared" si="4"/>
        <v xml:space="preserve">San Francisco City </v>
      </c>
      <c r="I41" s="241" t="s">
        <v>847</v>
      </c>
      <c r="L41" s="351" t="str">
        <f t="shared" si="5"/>
        <v>CADDELL</v>
      </c>
      <c r="M41" s="512">
        <v>5784</v>
      </c>
      <c r="N41" s="511" t="s">
        <v>1156</v>
      </c>
      <c r="O41" s="511" t="s">
        <v>772</v>
      </c>
      <c r="P41" s="512" t="s">
        <v>701</v>
      </c>
      <c r="T41" s="348" t="s">
        <v>1122</v>
      </c>
      <c r="U41" s="348" t="s">
        <v>1154</v>
      </c>
      <c r="V41" s="348" t="s">
        <v>771</v>
      </c>
    </row>
    <row r="42" spans="1:22" ht="12.95" customHeight="1" x14ac:dyDescent="0.2">
      <c r="A42" s="274">
        <v>5012</v>
      </c>
      <c r="B42" s="241" t="str">
        <f t="shared" si="0"/>
        <v>NA</v>
      </c>
      <c r="C42" s="243" t="str">
        <f t="shared" si="1"/>
        <v>Downs</v>
      </c>
      <c r="D42" s="275" t="s">
        <v>245</v>
      </c>
      <c r="E42" s="214" t="str">
        <f t="shared" si="2"/>
        <v>NA</v>
      </c>
      <c r="F42" s="242">
        <f t="shared" si="3"/>
        <v>5012</v>
      </c>
      <c r="G42" s="274">
        <v>500</v>
      </c>
      <c r="H42" s="241" t="str">
        <f t="shared" si="4"/>
        <v xml:space="preserve">Northridge Area, CA </v>
      </c>
      <c r="I42" s="241" t="s">
        <v>847</v>
      </c>
      <c r="L42" s="351" t="str">
        <f t="shared" si="5"/>
        <v>OR KATHRYN CAIN</v>
      </c>
      <c r="M42" s="512">
        <v>5358</v>
      </c>
      <c r="N42" s="511" t="s">
        <v>1157</v>
      </c>
      <c r="O42" s="511" t="s">
        <v>1158</v>
      </c>
      <c r="P42" s="512" t="s">
        <v>701</v>
      </c>
      <c r="T42" s="348">
        <v>5672</v>
      </c>
      <c r="U42" s="348" t="s">
        <v>604</v>
      </c>
      <c r="V42" s="348" t="s">
        <v>605</v>
      </c>
    </row>
    <row r="43" spans="1:22" ht="12.95" customHeight="1" x14ac:dyDescent="0.2">
      <c r="A43" s="274">
        <v>5013</v>
      </c>
      <c r="B43" s="241" t="str">
        <f t="shared" si="0"/>
        <v>WN</v>
      </c>
      <c r="C43" s="243" t="str">
        <f t="shared" si="1"/>
        <v>Larson</v>
      </c>
      <c r="D43" s="275" t="s">
        <v>963</v>
      </c>
      <c r="E43" s="214" t="str">
        <f t="shared" si="2"/>
        <v>WN</v>
      </c>
      <c r="F43" s="242">
        <f t="shared" si="3"/>
        <v>5013</v>
      </c>
      <c r="G43" s="274">
        <v>500</v>
      </c>
      <c r="H43" s="241" t="str">
        <f t="shared" si="4"/>
        <v xml:space="preserve">West/Cent NY &amp; West PA </v>
      </c>
      <c r="I43" s="241" t="s">
        <v>847</v>
      </c>
      <c r="L43" s="351" t="str">
        <f t="shared" si="5"/>
        <v>&amp; LISA CAMOMILE</v>
      </c>
      <c r="M43" s="512">
        <v>5738</v>
      </c>
      <c r="N43" s="511" t="s">
        <v>1784</v>
      </c>
      <c r="O43" s="511" t="s">
        <v>1785</v>
      </c>
      <c r="P43" s="512" t="s">
        <v>701</v>
      </c>
      <c r="T43" s="347">
        <v>5566</v>
      </c>
      <c r="U43" s="347" t="s">
        <v>1155</v>
      </c>
      <c r="V43" s="348" t="s">
        <v>705</v>
      </c>
    </row>
    <row r="44" spans="1:22" ht="12.95" customHeight="1" x14ac:dyDescent="0.2">
      <c r="A44" s="274">
        <v>5014</v>
      </c>
      <c r="B44" s="241" t="str">
        <f t="shared" si="0"/>
        <v>WM</v>
      </c>
      <c r="C44" s="243" t="str">
        <f t="shared" si="1"/>
        <v>S. Hope</v>
      </c>
      <c r="D44" s="275" t="s">
        <v>489</v>
      </c>
      <c r="E44" s="214" t="str">
        <f t="shared" si="2"/>
        <v>WM</v>
      </c>
      <c r="F44" s="242">
        <f t="shared" si="3"/>
        <v>5014</v>
      </c>
      <c r="G44" s="274">
        <v>500</v>
      </c>
      <c r="H44" s="241" t="str">
        <f t="shared" si="4"/>
        <v xml:space="preserve">Western Massachusetts Area </v>
      </c>
      <c r="I44" s="241" t="s">
        <v>847</v>
      </c>
      <c r="L44" s="351" t="str">
        <f t="shared" si="5"/>
        <v>CARLSON</v>
      </c>
      <c r="M44" s="512">
        <v>5302</v>
      </c>
      <c r="N44" s="511" t="s">
        <v>1160</v>
      </c>
      <c r="O44" s="511" t="s">
        <v>857</v>
      </c>
      <c r="P44" s="512" t="s">
        <v>701</v>
      </c>
      <c r="T44" s="348">
        <v>5784</v>
      </c>
      <c r="U44" s="348" t="s">
        <v>1156</v>
      </c>
      <c r="V44" s="348" t="s">
        <v>772</v>
      </c>
    </row>
    <row r="45" spans="1:22" ht="12.95" customHeight="1" x14ac:dyDescent="0.2">
      <c r="A45" s="274">
        <v>5015</v>
      </c>
      <c r="B45" s="241" t="str">
        <f t="shared" si="0"/>
        <v>BI</v>
      </c>
      <c r="C45" s="243" t="str">
        <f t="shared" si="1"/>
        <v>Hawes</v>
      </c>
      <c r="D45" s="275" t="s">
        <v>962</v>
      </c>
      <c r="E45" s="214" t="str">
        <f t="shared" si="2"/>
        <v>BI</v>
      </c>
      <c r="F45" s="242">
        <f t="shared" si="3"/>
        <v>5015</v>
      </c>
      <c r="G45" s="274">
        <v>500</v>
      </c>
      <c r="H45" s="241" t="str">
        <f t="shared" si="4"/>
        <v xml:space="preserve">Bloomington, IN Special </v>
      </c>
      <c r="I45" s="241" t="s">
        <v>847</v>
      </c>
      <c r="L45" s="351" t="str">
        <f t="shared" si="5"/>
        <v>CARLSON</v>
      </c>
      <c r="M45" s="512">
        <v>5157</v>
      </c>
      <c r="N45" s="511" t="s">
        <v>1161</v>
      </c>
      <c r="O45" s="511" t="s">
        <v>1162</v>
      </c>
      <c r="P45" s="512" t="s">
        <v>701</v>
      </c>
      <c r="T45" s="348">
        <v>5358</v>
      </c>
      <c r="U45" s="348" t="s">
        <v>1157</v>
      </c>
      <c r="V45" s="348" t="s">
        <v>1158</v>
      </c>
    </row>
    <row r="46" spans="1:22" ht="12.95" customHeight="1" x14ac:dyDescent="0.2">
      <c r="A46" s="274">
        <v>5016</v>
      </c>
      <c r="B46" s="241" t="str">
        <f t="shared" si="0"/>
        <v>SC</v>
      </c>
      <c r="C46" s="243" t="str">
        <f t="shared" si="1"/>
        <v>Pollard</v>
      </c>
      <c r="D46" s="275" t="s">
        <v>961</v>
      </c>
      <c r="E46" s="214" t="str">
        <f t="shared" si="2"/>
        <v>SC</v>
      </c>
      <c r="F46" s="242">
        <f t="shared" si="3"/>
        <v>5016</v>
      </c>
      <c r="G46" s="274">
        <v>500</v>
      </c>
      <c r="H46" s="241" t="str">
        <f t="shared" si="4"/>
        <v xml:space="preserve">Santz Cruz Events </v>
      </c>
      <c r="I46" s="241" t="s">
        <v>847</v>
      </c>
      <c r="L46" s="351" t="str">
        <f t="shared" si="5"/>
        <v>CARPENTER</v>
      </c>
      <c r="M46" s="512">
        <v>5713</v>
      </c>
      <c r="N46" s="511" t="s">
        <v>1048</v>
      </c>
      <c r="O46" s="511" t="s">
        <v>1786</v>
      </c>
      <c r="P46" s="512" t="s">
        <v>701</v>
      </c>
      <c r="T46" s="348">
        <v>5738</v>
      </c>
      <c r="U46" s="348" t="s">
        <v>1057</v>
      </c>
      <c r="V46" s="348" t="s">
        <v>1159</v>
      </c>
    </row>
    <row r="47" spans="1:22" ht="12.95" customHeight="1" x14ac:dyDescent="0.2">
      <c r="A47" s="274">
        <v>5017</v>
      </c>
      <c r="B47" s="241" t="str">
        <f t="shared" si="0"/>
        <v>IC</v>
      </c>
      <c r="C47" s="243" t="str">
        <f t="shared" si="1"/>
        <v>Younkin</v>
      </c>
      <c r="D47" s="275" t="s">
        <v>960</v>
      </c>
      <c r="E47" s="214" t="str">
        <f t="shared" si="2"/>
        <v>IC</v>
      </c>
      <c r="F47" s="242">
        <f t="shared" si="3"/>
        <v>5017</v>
      </c>
      <c r="G47" s="274">
        <v>500</v>
      </c>
      <c r="H47" s="241" t="str">
        <f t="shared" si="4"/>
        <v xml:space="preserve">Iowa City </v>
      </c>
      <c r="I47" s="241" t="s">
        <v>847</v>
      </c>
      <c r="L47" s="351" t="str">
        <f t="shared" si="5"/>
        <v>and JOANNE CARROLL</v>
      </c>
      <c r="M47" s="512">
        <v>5560</v>
      </c>
      <c r="N47" s="511" t="s">
        <v>1164</v>
      </c>
      <c r="O47" s="511" t="s">
        <v>1165</v>
      </c>
      <c r="P47" s="512" t="s">
        <v>701</v>
      </c>
      <c r="T47" s="348">
        <v>5302</v>
      </c>
      <c r="U47" s="348" t="s">
        <v>1160</v>
      </c>
      <c r="V47" s="348" t="s">
        <v>857</v>
      </c>
    </row>
    <row r="48" spans="1:22" ht="12.95" customHeight="1" x14ac:dyDescent="0.2">
      <c r="A48" s="274">
        <v>5018</v>
      </c>
      <c r="B48" s="241" t="str">
        <f t="shared" si="0"/>
        <v>NC</v>
      </c>
      <c r="C48" s="243" t="str">
        <f t="shared" si="1"/>
        <v>Pollard</v>
      </c>
      <c r="D48" s="275" t="s">
        <v>448</v>
      </c>
      <c r="E48" s="214" t="str">
        <f t="shared" si="2"/>
        <v>NC</v>
      </c>
      <c r="F48" s="242">
        <f t="shared" si="3"/>
        <v>5018</v>
      </c>
      <c r="G48" s="274">
        <v>500</v>
      </c>
      <c r="H48" s="241" t="str">
        <f t="shared" si="4"/>
        <v xml:space="preserve">Northern Cal Student Activity </v>
      </c>
      <c r="I48" s="241" t="s">
        <v>847</v>
      </c>
      <c r="L48" s="351" t="str">
        <f t="shared" si="5"/>
        <v>CARTER</v>
      </c>
      <c r="M48" s="512">
        <v>5498</v>
      </c>
      <c r="N48" s="511" t="s">
        <v>1166</v>
      </c>
      <c r="O48" s="511" t="s">
        <v>773</v>
      </c>
      <c r="P48" s="512" t="s">
        <v>701</v>
      </c>
      <c r="T48" s="348">
        <v>5157</v>
      </c>
      <c r="U48" s="348" t="s">
        <v>1161</v>
      </c>
      <c r="V48" s="348" t="s">
        <v>1162</v>
      </c>
    </row>
    <row r="49" spans="1:22" ht="12.95" customHeight="1" x14ac:dyDescent="0.2">
      <c r="A49" s="274">
        <v>5019</v>
      </c>
      <c r="B49" s="241" t="str">
        <f t="shared" si="0"/>
        <v>NC</v>
      </c>
      <c r="C49" s="243" t="str">
        <f t="shared" si="1"/>
        <v>Downs</v>
      </c>
      <c r="D49" s="275" t="s">
        <v>959</v>
      </c>
      <c r="E49" s="214" t="str">
        <f t="shared" si="2"/>
        <v>NC</v>
      </c>
      <c r="F49" s="242">
        <f t="shared" si="3"/>
        <v>5019</v>
      </c>
      <c r="G49" s="274">
        <v>500</v>
      </c>
      <c r="H49" s="241" t="str">
        <f t="shared" si="4"/>
        <v xml:space="preserve">Northridge, CA Events </v>
      </c>
      <c r="I49" s="241" t="s">
        <v>847</v>
      </c>
      <c r="L49" s="351" t="str">
        <f t="shared" si="5"/>
        <v>AND HOLLY CASPER</v>
      </c>
      <c r="M49" s="512">
        <v>5238</v>
      </c>
      <c r="N49" s="511" t="s">
        <v>1167</v>
      </c>
      <c r="O49" s="511" t="s">
        <v>1168</v>
      </c>
      <c r="P49" s="512" t="s">
        <v>701</v>
      </c>
      <c r="T49" s="348">
        <v>5713</v>
      </c>
      <c r="U49" s="348" t="s">
        <v>1048</v>
      </c>
      <c r="V49" s="348" t="s">
        <v>1163</v>
      </c>
    </row>
    <row r="50" spans="1:22" ht="12.95" customHeight="1" x14ac:dyDescent="0.2">
      <c r="A50" s="274">
        <v>5020</v>
      </c>
      <c r="B50" s="241" t="str">
        <f t="shared" si="0"/>
        <v>PU</v>
      </c>
      <c r="C50" s="243" t="str">
        <f t="shared" si="1"/>
        <v>Zull</v>
      </c>
      <c r="D50" s="275" t="s">
        <v>958</v>
      </c>
      <c r="E50" s="214" t="str">
        <f t="shared" si="2"/>
        <v>PU</v>
      </c>
      <c r="F50" s="242">
        <f t="shared" si="3"/>
        <v>5020</v>
      </c>
      <c r="G50" s="274">
        <v>500</v>
      </c>
      <c r="H50" s="241" t="str">
        <f t="shared" si="4"/>
        <v xml:space="preserve">Purdue University IN </v>
      </c>
      <c r="I50" s="241" t="s">
        <v>847</v>
      </c>
      <c r="L50" s="351" t="str">
        <f t="shared" si="5"/>
        <v>AND DAYNA CERMAK</v>
      </c>
      <c r="M50" s="512">
        <v>5551</v>
      </c>
      <c r="N50" s="511" t="s">
        <v>1169</v>
      </c>
      <c r="O50" s="511" t="s">
        <v>1170</v>
      </c>
      <c r="P50" s="512" t="s">
        <v>701</v>
      </c>
      <c r="T50" s="348">
        <v>5560</v>
      </c>
      <c r="U50" s="348" t="s">
        <v>1164</v>
      </c>
      <c r="V50" s="348" t="s">
        <v>1165</v>
      </c>
    </row>
    <row r="51" spans="1:22" ht="12.95" customHeight="1" x14ac:dyDescent="0.2">
      <c r="A51" s="274">
        <v>5021</v>
      </c>
      <c r="B51" s="241" t="str">
        <f t="shared" si="0"/>
        <v>FC</v>
      </c>
      <c r="C51" s="243" t="str">
        <f t="shared" si="1"/>
        <v>Grove</v>
      </c>
      <c r="D51" s="275" t="s">
        <v>957</v>
      </c>
      <c r="E51" s="214" t="str">
        <f t="shared" si="2"/>
        <v>FC</v>
      </c>
      <c r="F51" s="242">
        <f t="shared" si="3"/>
        <v>5021</v>
      </c>
      <c r="G51" s="274">
        <v>500</v>
      </c>
      <c r="H51" s="241" t="str">
        <f t="shared" si="4"/>
        <v xml:space="preserve">Fayetteville City </v>
      </c>
      <c r="I51" s="241" t="s">
        <v>847</v>
      </c>
      <c r="L51" s="351" t="str">
        <f t="shared" si="5"/>
        <v>CHAMPOUX</v>
      </c>
      <c r="M51" s="512">
        <v>5501</v>
      </c>
      <c r="N51" s="511" t="s">
        <v>1171</v>
      </c>
      <c r="O51" s="511" t="s">
        <v>774</v>
      </c>
      <c r="P51" s="512" t="s">
        <v>701</v>
      </c>
      <c r="T51" s="348">
        <v>5498</v>
      </c>
      <c r="U51" s="348" t="s">
        <v>1166</v>
      </c>
      <c r="V51" s="348" t="s">
        <v>773</v>
      </c>
    </row>
    <row r="52" spans="1:22" ht="12.95" customHeight="1" x14ac:dyDescent="0.2">
      <c r="A52" s="274">
        <v>5022</v>
      </c>
      <c r="B52" s="241" t="str">
        <f t="shared" si="0"/>
        <v>TT</v>
      </c>
      <c r="C52" s="243" t="str">
        <f t="shared" si="1"/>
        <v>Manasco</v>
      </c>
      <c r="D52" s="275" t="s">
        <v>728</v>
      </c>
      <c r="E52" s="214" t="str">
        <f t="shared" si="2"/>
        <v>TT</v>
      </c>
      <c r="F52" s="242">
        <f t="shared" si="3"/>
        <v>5022</v>
      </c>
      <c r="G52" s="274">
        <v>500</v>
      </c>
      <c r="H52" s="241" t="str">
        <f t="shared" si="4"/>
        <v xml:space="preserve">Tyler Tx </v>
      </c>
      <c r="I52" s="241" t="s">
        <v>847</v>
      </c>
      <c r="L52" s="351" t="str">
        <f t="shared" si="5"/>
        <v>&amp; LUCY CHAMPOUX</v>
      </c>
      <c r="M52" s="512">
        <v>5503</v>
      </c>
      <c r="N52" s="511" t="s">
        <v>1172</v>
      </c>
      <c r="O52" s="511" t="s">
        <v>1173</v>
      </c>
      <c r="P52" s="512" t="s">
        <v>704</v>
      </c>
      <c r="T52" s="348">
        <v>5238</v>
      </c>
      <c r="U52" s="348" t="s">
        <v>1167</v>
      </c>
      <c r="V52" s="348" t="s">
        <v>1168</v>
      </c>
    </row>
    <row r="53" spans="1:22" ht="12.95" customHeight="1" x14ac:dyDescent="0.2">
      <c r="A53" s="274">
        <v>5023</v>
      </c>
      <c r="B53" s="241" t="str">
        <f t="shared" si="0"/>
        <v>SB</v>
      </c>
      <c r="C53" s="243" t="str">
        <f t="shared" si="1"/>
        <v>Depalatis</v>
      </c>
      <c r="D53" s="275" t="s">
        <v>729</v>
      </c>
      <c r="E53" s="214" t="str">
        <f t="shared" si="2"/>
        <v>SB</v>
      </c>
      <c r="F53" s="242">
        <f t="shared" si="3"/>
        <v>5023</v>
      </c>
      <c r="G53" s="274">
        <v>500</v>
      </c>
      <c r="H53" s="241" t="str">
        <f t="shared" si="4"/>
        <v xml:space="preserve">Sout Bay Pennisula CA  </v>
      </c>
      <c r="I53" s="241" t="s">
        <v>847</v>
      </c>
      <c r="L53" s="351" t="str">
        <f t="shared" si="5"/>
        <v>CHAN</v>
      </c>
      <c r="M53" s="512"/>
      <c r="N53" s="511" t="s">
        <v>1174</v>
      </c>
      <c r="O53" s="511" t="s">
        <v>1175</v>
      </c>
      <c r="P53" s="512" t="s">
        <v>701</v>
      </c>
      <c r="T53" s="348">
        <v>5551</v>
      </c>
      <c r="U53" s="348" t="s">
        <v>1169</v>
      </c>
      <c r="V53" s="348" t="s">
        <v>1170</v>
      </c>
    </row>
    <row r="54" spans="1:22" ht="12.95" customHeight="1" x14ac:dyDescent="0.2">
      <c r="A54" s="274">
        <v>5024</v>
      </c>
      <c r="B54" s="241" t="str">
        <f t="shared" si="0"/>
        <v>MC</v>
      </c>
      <c r="C54" s="243" t="str">
        <f t="shared" si="1"/>
        <v>Mills</v>
      </c>
      <c r="D54" s="275" t="s">
        <v>730</v>
      </c>
      <c r="E54" s="214" t="str">
        <f t="shared" si="2"/>
        <v>MC</v>
      </c>
      <c r="F54" s="242">
        <f t="shared" si="3"/>
        <v>5024</v>
      </c>
      <c r="G54" s="274">
        <v>500</v>
      </c>
      <c r="H54" s="241" t="str">
        <f t="shared" si="4"/>
        <v xml:space="preserve">Mesa Community College </v>
      </c>
      <c r="I54" s="241" t="s">
        <v>847</v>
      </c>
      <c r="L54" s="351" t="str">
        <f t="shared" si="5"/>
        <v>CHAN</v>
      </c>
      <c r="M54" s="512">
        <v>5917</v>
      </c>
      <c r="N54" s="511" t="s">
        <v>1177</v>
      </c>
      <c r="O54" s="511" t="s">
        <v>858</v>
      </c>
      <c r="P54" s="512" t="s">
        <v>701</v>
      </c>
      <c r="T54" s="348">
        <v>5501</v>
      </c>
      <c r="U54" s="348" t="s">
        <v>1171</v>
      </c>
      <c r="V54" s="348" t="s">
        <v>774</v>
      </c>
    </row>
    <row r="55" spans="1:22" ht="12.95" customHeight="1" x14ac:dyDescent="0.2">
      <c r="A55" s="274">
        <v>5025</v>
      </c>
      <c r="B55" s="241" t="str">
        <f t="shared" si="0"/>
        <v>EE</v>
      </c>
      <c r="C55" s="243" t="str">
        <f t="shared" si="1"/>
        <v>Smucker</v>
      </c>
      <c r="D55" s="275" t="s">
        <v>731</v>
      </c>
      <c r="E55" s="214" t="str">
        <f t="shared" si="2"/>
        <v>EE</v>
      </c>
      <c r="F55" s="242">
        <f t="shared" si="3"/>
        <v>5025</v>
      </c>
      <c r="G55" s="274">
        <v>500</v>
      </c>
      <c r="H55" s="241" t="str">
        <f t="shared" si="4"/>
        <v xml:space="preserve">Eugene Events </v>
      </c>
      <c r="I55" s="241" t="s">
        <v>847</v>
      </c>
      <c r="L55" s="351" t="str">
        <f t="shared" si="5"/>
        <v>CHARLIER</v>
      </c>
      <c r="M55" s="512">
        <v>3100</v>
      </c>
      <c r="N55" s="511" t="s">
        <v>616</v>
      </c>
      <c r="O55" s="511" t="s">
        <v>859</v>
      </c>
      <c r="P55" s="512" t="s">
        <v>701</v>
      </c>
      <c r="T55" s="348">
        <v>5503</v>
      </c>
      <c r="U55" s="348" t="s">
        <v>1172</v>
      </c>
      <c r="V55" s="348" t="s">
        <v>1173</v>
      </c>
    </row>
    <row r="56" spans="1:22" ht="12.95" customHeight="1" x14ac:dyDescent="0.2">
      <c r="A56" s="274">
        <v>5026</v>
      </c>
      <c r="B56" s="241" t="str">
        <f t="shared" si="0"/>
        <v>DC</v>
      </c>
      <c r="C56" s="243" t="str">
        <f t="shared" si="1"/>
        <v>Kronstad</v>
      </c>
      <c r="D56" s="275" t="s">
        <v>732</v>
      </c>
      <c r="E56" s="214" t="str">
        <f t="shared" si="2"/>
        <v>DC</v>
      </c>
      <c r="F56" s="242">
        <f t="shared" si="3"/>
        <v>5026</v>
      </c>
      <c r="G56" s="274">
        <v>500</v>
      </c>
      <c r="H56" s="241" t="str">
        <f t="shared" si="4"/>
        <v xml:space="preserve">Durham City Student Activity </v>
      </c>
      <c r="I56" s="241" t="s">
        <v>847</v>
      </c>
      <c r="L56" s="351" t="str">
        <f t="shared" si="5"/>
        <v>CHAU</v>
      </c>
      <c r="M56" s="512">
        <v>5576</v>
      </c>
      <c r="N56" s="511" t="s">
        <v>1180</v>
      </c>
      <c r="O56" s="511" t="s">
        <v>775</v>
      </c>
      <c r="P56" s="512" t="s">
        <v>701</v>
      </c>
      <c r="T56" s="348" t="s">
        <v>1122</v>
      </c>
      <c r="U56" s="348" t="s">
        <v>1174</v>
      </c>
      <c r="V56" s="348" t="s">
        <v>1175</v>
      </c>
    </row>
    <row r="57" spans="1:22" ht="12.95" customHeight="1" x14ac:dyDescent="0.2">
      <c r="A57" s="274">
        <v>5027</v>
      </c>
      <c r="B57" s="241" t="str">
        <f t="shared" si="0"/>
        <v>IA</v>
      </c>
      <c r="C57" s="243" t="str">
        <f t="shared" si="1"/>
        <v>Spady</v>
      </c>
      <c r="D57" s="275" t="s">
        <v>733</v>
      </c>
      <c r="E57" s="214" t="str">
        <f t="shared" si="2"/>
        <v>IA</v>
      </c>
      <c r="F57" s="242">
        <f t="shared" si="3"/>
        <v>5027</v>
      </c>
      <c r="G57" s="274">
        <v>500</v>
      </c>
      <c r="H57" s="241" t="str">
        <f t="shared" si="4"/>
        <v xml:space="preserve">ID/MT Area Mobilization </v>
      </c>
      <c r="I57" s="241" t="s">
        <v>847</v>
      </c>
      <c r="L57" s="351" t="str">
        <f t="shared" si="5"/>
        <v>CHEN</v>
      </c>
      <c r="M57" s="512"/>
      <c r="N57" s="511" t="s">
        <v>1181</v>
      </c>
      <c r="O57" s="511" t="s">
        <v>1182</v>
      </c>
      <c r="P57" s="512" t="s">
        <v>701</v>
      </c>
      <c r="T57" s="348">
        <v>5836</v>
      </c>
      <c r="U57" s="348" t="s">
        <v>1176</v>
      </c>
      <c r="V57" s="348" t="s">
        <v>617</v>
      </c>
    </row>
    <row r="58" spans="1:22" ht="12.95" customHeight="1" x14ac:dyDescent="0.2">
      <c r="A58" s="274">
        <v>5028</v>
      </c>
      <c r="B58" s="241" t="str">
        <f t="shared" si="0"/>
        <v>GC</v>
      </c>
      <c r="C58" s="243" t="str">
        <f t="shared" si="1"/>
        <v>Shelley</v>
      </c>
      <c r="D58" s="275" t="s">
        <v>734</v>
      </c>
      <c r="E58" s="214" t="str">
        <f t="shared" si="2"/>
        <v>GC</v>
      </c>
      <c r="F58" s="242">
        <f t="shared" si="3"/>
        <v>5028</v>
      </c>
      <c r="G58" s="274">
        <v>500</v>
      </c>
      <c r="H58" s="241" t="str">
        <f t="shared" si="4"/>
        <v xml:space="preserve">Greely CO </v>
      </c>
      <c r="I58" s="241" t="s">
        <v>847</v>
      </c>
      <c r="L58" s="351" t="str">
        <f t="shared" si="5"/>
        <v>CHEN</v>
      </c>
      <c r="M58" s="512">
        <v>5684</v>
      </c>
      <c r="N58" s="511" t="s">
        <v>578</v>
      </c>
      <c r="O58" s="511" t="s">
        <v>579</v>
      </c>
      <c r="P58" s="512" t="s">
        <v>701</v>
      </c>
      <c r="T58" s="348">
        <v>5917</v>
      </c>
      <c r="U58" s="348" t="s">
        <v>1177</v>
      </c>
      <c r="V58" s="348" t="s">
        <v>1178</v>
      </c>
    </row>
    <row r="59" spans="1:22" ht="12.95" customHeight="1" x14ac:dyDescent="0.2">
      <c r="A59" s="274">
        <v>5029</v>
      </c>
      <c r="B59" s="241" t="str">
        <f t="shared" si="0"/>
        <v>NB</v>
      </c>
      <c r="C59" s="243" t="str">
        <f t="shared" si="1"/>
        <v>Mannon</v>
      </c>
      <c r="D59" s="275" t="s">
        <v>956</v>
      </c>
      <c r="E59" s="214" t="str">
        <f t="shared" si="2"/>
        <v>NB</v>
      </c>
      <c r="F59" s="242">
        <f t="shared" si="3"/>
        <v>5029</v>
      </c>
      <c r="G59" s="274">
        <v>500</v>
      </c>
      <c r="H59" s="241" t="str">
        <f t="shared" si="4"/>
        <v xml:space="preserve">New Brunswick, NJ City </v>
      </c>
      <c r="I59" s="241" t="s">
        <v>847</v>
      </c>
      <c r="L59" s="351" t="str">
        <f t="shared" si="5"/>
        <v>cherry</v>
      </c>
      <c r="M59" s="512">
        <v>5354</v>
      </c>
      <c r="N59" s="511" t="s">
        <v>1917</v>
      </c>
      <c r="O59" s="513" t="s">
        <v>1918</v>
      </c>
      <c r="P59" s="514" t="s">
        <v>701</v>
      </c>
      <c r="T59" s="348">
        <v>3100</v>
      </c>
      <c r="U59" s="348" t="s">
        <v>616</v>
      </c>
      <c r="V59" s="348" t="s">
        <v>1179</v>
      </c>
    </row>
    <row r="60" spans="1:22" ht="12.95" customHeight="1" x14ac:dyDescent="0.2">
      <c r="A60" s="274">
        <v>5030</v>
      </c>
      <c r="B60" s="241" t="str">
        <f t="shared" si="0"/>
        <v>NR</v>
      </c>
      <c r="C60" s="243" t="str">
        <f t="shared" si="1"/>
        <v>Hope</v>
      </c>
      <c r="D60" s="275" t="s">
        <v>955</v>
      </c>
      <c r="E60" s="214" t="str">
        <f t="shared" si="2"/>
        <v>NR</v>
      </c>
      <c r="F60" s="242">
        <f t="shared" si="3"/>
        <v>5030</v>
      </c>
      <c r="G60" s="274">
        <v>500</v>
      </c>
      <c r="H60" s="241" t="str">
        <f t="shared" si="4"/>
        <v xml:space="preserve">NE Region TRUE Retreats </v>
      </c>
      <c r="I60" s="241" t="s">
        <v>847</v>
      </c>
      <c r="L60" s="351" t="str">
        <f t="shared" si="5"/>
        <v>CHIJINDU</v>
      </c>
      <c r="M60" s="510">
        <v>5448</v>
      </c>
      <c r="N60" s="511" t="s">
        <v>557</v>
      </c>
      <c r="O60" s="511" t="s">
        <v>558</v>
      </c>
      <c r="P60" s="512" t="s">
        <v>701</v>
      </c>
      <c r="T60" s="348">
        <v>5576</v>
      </c>
      <c r="U60" s="348" t="s">
        <v>1180</v>
      </c>
      <c r="V60" s="348" t="s">
        <v>775</v>
      </c>
    </row>
    <row r="61" spans="1:22" ht="12.95" customHeight="1" x14ac:dyDescent="0.2">
      <c r="A61" s="274">
        <v>5031</v>
      </c>
      <c r="B61" s="241" t="str">
        <f t="shared" si="0"/>
        <v>WA</v>
      </c>
      <c r="C61" s="243" t="str">
        <f t="shared" si="1"/>
        <v>Allen</v>
      </c>
      <c r="D61" s="275" t="s">
        <v>954</v>
      </c>
      <c r="E61" s="214" t="str">
        <f t="shared" si="2"/>
        <v>WA</v>
      </c>
      <c r="F61" s="242">
        <f t="shared" si="3"/>
        <v>5031</v>
      </c>
      <c r="G61" s="274">
        <v>500</v>
      </c>
      <c r="H61" s="241" t="str">
        <f t="shared" si="4"/>
        <v xml:space="preserve">Wichita Activity Acct </v>
      </c>
      <c r="I61" s="241" t="s">
        <v>847</v>
      </c>
      <c r="L61" s="351" t="str">
        <f t="shared" si="5"/>
        <v>HANNAH</v>
      </c>
      <c r="M61" s="512">
        <v>5361</v>
      </c>
      <c r="N61" s="511" t="s">
        <v>1183</v>
      </c>
      <c r="O61" s="511" t="s">
        <v>529</v>
      </c>
      <c r="P61" s="512" t="s">
        <v>701</v>
      </c>
      <c r="T61" s="348" t="s">
        <v>1122</v>
      </c>
      <c r="U61" s="348" t="s">
        <v>1181</v>
      </c>
      <c r="V61" s="348" t="s">
        <v>1182</v>
      </c>
    </row>
    <row r="62" spans="1:22" ht="12.95" customHeight="1" x14ac:dyDescent="0.2">
      <c r="A62" s="274">
        <v>5032</v>
      </c>
      <c r="B62" s="241" t="str">
        <f t="shared" si="0"/>
        <v>KP</v>
      </c>
      <c r="C62" s="243" t="str">
        <f t="shared" si="1"/>
        <v>Douglass</v>
      </c>
      <c r="D62" s="275" t="s">
        <v>953</v>
      </c>
      <c r="E62" s="214" t="str">
        <f t="shared" si="2"/>
        <v>KP</v>
      </c>
      <c r="F62" s="242">
        <f t="shared" si="3"/>
        <v>5032</v>
      </c>
      <c r="G62" s="274">
        <v>500</v>
      </c>
      <c r="H62" s="241" t="str">
        <f t="shared" si="4"/>
        <v xml:space="preserve">KC Park University </v>
      </c>
      <c r="I62" s="241" t="s">
        <v>847</v>
      </c>
      <c r="L62" s="351" t="str">
        <f t="shared" si="5"/>
        <v>CIGANIC</v>
      </c>
      <c r="M62" s="512">
        <v>5591</v>
      </c>
      <c r="N62" s="511" t="s">
        <v>1184</v>
      </c>
      <c r="O62" s="511" t="s">
        <v>860</v>
      </c>
      <c r="P62" s="512" t="s">
        <v>701</v>
      </c>
      <c r="T62" s="348">
        <v>5684</v>
      </c>
      <c r="U62" s="348" t="s">
        <v>578</v>
      </c>
      <c r="V62" s="348" t="s">
        <v>579</v>
      </c>
    </row>
    <row r="63" spans="1:22" ht="12.95" customHeight="1" x14ac:dyDescent="0.2">
      <c r="A63" s="274">
        <v>5033</v>
      </c>
      <c r="B63" s="241" t="str">
        <f t="shared" si="0"/>
        <v>PC</v>
      </c>
      <c r="C63" s="243" t="str">
        <f t="shared" si="1"/>
        <v>Newbrander</v>
      </c>
      <c r="D63" s="275" t="s">
        <v>952</v>
      </c>
      <c r="E63" s="214" t="str">
        <f t="shared" si="2"/>
        <v>PC</v>
      </c>
      <c r="F63" s="242">
        <f t="shared" si="3"/>
        <v>5033</v>
      </c>
      <c r="G63" s="274">
        <v>500</v>
      </c>
      <c r="H63" s="241" t="str">
        <f t="shared" si="4"/>
        <v xml:space="preserve">Philadelphia City </v>
      </c>
      <c r="I63" s="241" t="s">
        <v>847</v>
      </c>
      <c r="L63" s="351" t="str">
        <f t="shared" si="5"/>
        <v>CLAASSEN</v>
      </c>
      <c r="M63" s="512">
        <v>5908</v>
      </c>
      <c r="N63" s="511" t="s">
        <v>1186</v>
      </c>
      <c r="O63" s="511" t="s">
        <v>1187</v>
      </c>
      <c r="P63" s="512" t="s">
        <v>701</v>
      </c>
      <c r="T63" s="348" t="s">
        <v>1122</v>
      </c>
      <c r="U63" s="348" t="s">
        <v>1455</v>
      </c>
      <c r="V63" s="348" t="s">
        <v>1456</v>
      </c>
    </row>
    <row r="64" spans="1:22" ht="12.95" customHeight="1" x14ac:dyDescent="0.2">
      <c r="A64" s="274">
        <v>5036</v>
      </c>
      <c r="B64" s="241" t="str">
        <f t="shared" si="0"/>
        <v>CS</v>
      </c>
      <c r="C64" s="243" t="str">
        <f t="shared" si="1"/>
        <v/>
      </c>
      <c r="D64" s="275" t="s">
        <v>735</v>
      </c>
      <c r="E64" s="214" t="str">
        <f t="shared" si="2"/>
        <v>CS</v>
      </c>
      <c r="F64" s="242">
        <f t="shared" si="3"/>
        <v>5036</v>
      </c>
      <c r="G64" s="274">
        <v>500</v>
      </c>
      <c r="H64" s="241" t="str">
        <f t="shared" si="4"/>
        <v xml:space="preserve">Cossette Special </v>
      </c>
      <c r="I64" s="241" t="s">
        <v>848</v>
      </c>
      <c r="L64" s="351" t="str">
        <f t="shared" si="5"/>
        <v>CLEMENTS</v>
      </c>
      <c r="M64" s="512"/>
      <c r="N64" s="511" t="s">
        <v>1787</v>
      </c>
      <c r="O64" s="511" t="s">
        <v>1788</v>
      </c>
      <c r="P64" s="512" t="s">
        <v>701</v>
      </c>
      <c r="T64" s="348" t="s">
        <v>1122</v>
      </c>
      <c r="U64" s="348" t="s">
        <v>1457</v>
      </c>
      <c r="V64" s="348" t="s">
        <v>1458</v>
      </c>
    </row>
    <row r="65" spans="1:22" ht="12.95" customHeight="1" x14ac:dyDescent="0.2">
      <c r="A65" s="274">
        <v>5037</v>
      </c>
      <c r="B65" s="241" t="str">
        <f t="shared" si="0"/>
        <v>MS</v>
      </c>
      <c r="C65" s="243" t="str">
        <f t="shared" si="1"/>
        <v/>
      </c>
      <c r="D65" s="275" t="s">
        <v>814</v>
      </c>
      <c r="E65" s="214" t="str">
        <f t="shared" si="2"/>
        <v>MS</v>
      </c>
      <c r="F65" s="242">
        <f t="shared" si="3"/>
        <v>5037</v>
      </c>
      <c r="G65" s="264">
        <v>500</v>
      </c>
      <c r="H65" s="241" t="str">
        <f t="shared" si="4"/>
        <v xml:space="preserve">Miller Special Fund </v>
      </c>
      <c r="I65" s="241" t="s">
        <v>848</v>
      </c>
      <c r="L65" s="351" t="str">
        <f t="shared" si="5"/>
        <v>CLEMENTS</v>
      </c>
      <c r="M65" s="512">
        <v>5488</v>
      </c>
      <c r="N65" s="511" t="s">
        <v>1188</v>
      </c>
      <c r="O65" s="511" t="s">
        <v>776</v>
      </c>
      <c r="P65" s="512" t="s">
        <v>701</v>
      </c>
      <c r="T65" s="348">
        <v>5448</v>
      </c>
      <c r="U65" s="348" t="s">
        <v>557</v>
      </c>
      <c r="V65" s="348" t="s">
        <v>558</v>
      </c>
    </row>
    <row r="66" spans="1:22" ht="12.95" customHeight="1" x14ac:dyDescent="0.2">
      <c r="A66" s="274">
        <v>5038</v>
      </c>
      <c r="B66" s="241" t="str">
        <f t="shared" si="0"/>
        <v>SO</v>
      </c>
      <c r="C66" s="243" t="str">
        <f t="shared" si="1"/>
        <v/>
      </c>
      <c r="D66" s="275" t="s">
        <v>1024</v>
      </c>
      <c r="E66" s="214" t="str">
        <f t="shared" si="2"/>
        <v>SO</v>
      </c>
      <c r="F66" s="242">
        <f t="shared" si="3"/>
        <v>5038</v>
      </c>
      <c r="G66" s="274">
        <v>500</v>
      </c>
      <c r="H66" s="241" t="str">
        <f t="shared" si="4"/>
        <v xml:space="preserve">Stillwater, OK </v>
      </c>
      <c r="I66" s="241" t="s">
        <v>847</v>
      </c>
      <c r="L66" s="351" t="str">
        <f t="shared" si="5"/>
        <v>COLACO</v>
      </c>
      <c r="M66" s="512">
        <v>5607</v>
      </c>
      <c r="N66" s="511" t="s">
        <v>619</v>
      </c>
      <c r="O66" s="511" t="s">
        <v>620</v>
      </c>
      <c r="P66" s="512" t="s">
        <v>701</v>
      </c>
      <c r="T66" s="348">
        <v>5361</v>
      </c>
      <c r="U66" s="348" t="s">
        <v>1183</v>
      </c>
      <c r="V66" s="348" t="s">
        <v>529</v>
      </c>
    </row>
    <row r="67" spans="1:22" ht="12.95" customHeight="1" x14ac:dyDescent="0.2">
      <c r="A67" s="274">
        <v>5039</v>
      </c>
      <c r="B67" s="241" t="str">
        <f t="shared" si="0"/>
        <v>NN</v>
      </c>
      <c r="C67" s="243" t="str">
        <f t="shared" si="1"/>
        <v>Innis</v>
      </c>
      <c r="D67" s="275" t="s">
        <v>1023</v>
      </c>
      <c r="E67" s="214" t="str">
        <f t="shared" si="2"/>
        <v>NN</v>
      </c>
      <c r="F67" s="242">
        <f t="shared" si="3"/>
        <v>5039</v>
      </c>
      <c r="G67" s="274">
        <v>500</v>
      </c>
      <c r="H67" s="241" t="str">
        <f t="shared" si="4"/>
        <v xml:space="preserve">Northern NJ Area </v>
      </c>
      <c r="I67" s="241" t="s">
        <v>847</v>
      </c>
      <c r="L67" s="351" t="str">
        <f t="shared" si="5"/>
        <v>AND PIXIE COLEMAN</v>
      </c>
      <c r="M67" s="512">
        <v>5641</v>
      </c>
      <c r="N67" s="511" t="s">
        <v>1189</v>
      </c>
      <c r="O67" s="511" t="s">
        <v>1190</v>
      </c>
      <c r="P67" s="512" t="s">
        <v>701</v>
      </c>
      <c r="T67" s="348">
        <v>5591</v>
      </c>
      <c r="U67" s="348" t="s">
        <v>1184</v>
      </c>
      <c r="V67" s="348" t="s">
        <v>1185</v>
      </c>
    </row>
    <row r="68" spans="1:22" ht="12.95" customHeight="1" x14ac:dyDescent="0.2">
      <c r="A68" s="274">
        <v>5040</v>
      </c>
      <c r="B68" s="241" t="str">
        <f t="shared" si="0"/>
        <v>WR</v>
      </c>
      <c r="C68" s="243" t="str">
        <f t="shared" si="1"/>
        <v>zeigler</v>
      </c>
      <c r="D68" s="275" t="s">
        <v>1689</v>
      </c>
      <c r="E68" s="214" t="str">
        <f t="shared" si="2"/>
        <v>WR</v>
      </c>
      <c r="F68" s="242">
        <f t="shared" si="3"/>
        <v>5040</v>
      </c>
      <c r="G68" s="274">
        <v>500</v>
      </c>
      <c r="H68" s="241" t="str">
        <f t="shared" ref="H68:H132" si="6">LEFT(D68,SEARCH("(",D68,1)-1)</f>
        <v xml:space="preserve">Western Region True Retreat </v>
      </c>
      <c r="I68" s="241" t="s">
        <v>847</v>
      </c>
      <c r="L68" s="351" t="str">
        <f t="shared" si="5"/>
        <v>COMPTON</v>
      </c>
      <c r="M68" s="512">
        <v>5192</v>
      </c>
      <c r="N68" s="511" t="s">
        <v>606</v>
      </c>
      <c r="O68" s="511" t="s">
        <v>861</v>
      </c>
      <c r="P68" s="512" t="s">
        <v>701</v>
      </c>
      <c r="T68" s="348">
        <v>5908</v>
      </c>
      <c r="U68" s="348" t="s">
        <v>1186</v>
      </c>
      <c r="V68" s="348" t="s">
        <v>1187</v>
      </c>
    </row>
    <row r="69" spans="1:22" ht="12.95" customHeight="1" x14ac:dyDescent="0.2">
      <c r="A69" s="274">
        <v>5041</v>
      </c>
      <c r="B69" s="241" t="str">
        <f t="shared" ref="B69" si="7">E69</f>
        <v>UI</v>
      </c>
      <c r="C69" s="243" t="str">
        <f t="shared" ref="C69" si="8">IFERROR(MID(D69,SEARCH("{",D69,1)+1,SEARCH("}",D69,1)-SEARCH("{",D69,1)-1),"")</f>
        <v>Krehbeil</v>
      </c>
      <c r="D69" s="275" t="s">
        <v>1027</v>
      </c>
      <c r="E69" s="214" t="str">
        <f t="shared" ref="E69" si="9">LEFT(D69,1)&amp;MID(D69,SEARCH(" ",D69,1)+1,1)</f>
        <v>UI</v>
      </c>
      <c r="F69" s="242">
        <f t="shared" ref="F69" si="10">A69</f>
        <v>5041</v>
      </c>
      <c r="G69" s="274">
        <v>500</v>
      </c>
      <c r="H69" s="241" t="str">
        <f t="shared" si="6"/>
        <v xml:space="preserve">Urbana/Champaign, IL </v>
      </c>
      <c r="I69" s="241" t="s">
        <v>847</v>
      </c>
      <c r="L69" s="351" t="str">
        <f t="shared" ref="L69:L97" si="11">RIGHT(O69,LEN(O69)-SEARCH(" ",O69,1))</f>
        <v>and Patty Congdon</v>
      </c>
      <c r="M69" s="512">
        <v>5139</v>
      </c>
      <c r="N69" s="511" t="s">
        <v>560</v>
      </c>
      <c r="O69" s="511" t="s">
        <v>1192</v>
      </c>
      <c r="P69" s="512" t="s">
        <v>701</v>
      </c>
      <c r="T69" s="348">
        <v>5488</v>
      </c>
      <c r="U69" s="348" t="s">
        <v>1188</v>
      </c>
      <c r="V69" s="348" t="s">
        <v>776</v>
      </c>
    </row>
    <row r="70" spans="1:22" ht="12.95" customHeight="1" x14ac:dyDescent="0.2">
      <c r="A70" s="274">
        <v>5042</v>
      </c>
      <c r="B70" s="241" t="str">
        <f t="shared" si="0"/>
        <v>BS</v>
      </c>
      <c r="C70" s="243" t="str">
        <f t="shared" si="1"/>
        <v/>
      </c>
      <c r="D70" s="275" t="s">
        <v>1067</v>
      </c>
      <c r="E70" s="214" t="str">
        <f t="shared" si="2"/>
        <v>BS</v>
      </c>
      <c r="F70" s="242">
        <f t="shared" si="3"/>
        <v>5042</v>
      </c>
      <c r="G70" s="264">
        <v>500</v>
      </c>
      <c r="H70" s="241" t="str">
        <f t="shared" si="6"/>
        <v xml:space="preserve">Boyle Special </v>
      </c>
      <c r="I70" s="241" t="s">
        <v>848</v>
      </c>
      <c r="L70" s="351" t="str">
        <f t="shared" si="11"/>
        <v>CORDELL</v>
      </c>
      <c r="M70" s="512">
        <v>5681</v>
      </c>
      <c r="N70" s="511" t="s">
        <v>1193</v>
      </c>
      <c r="O70" s="511" t="s">
        <v>1194</v>
      </c>
      <c r="P70" s="512" t="s">
        <v>701</v>
      </c>
      <c r="T70" s="348">
        <v>5607</v>
      </c>
      <c r="U70" s="348" t="s">
        <v>619</v>
      </c>
      <c r="V70" s="348" t="s">
        <v>620</v>
      </c>
    </row>
    <row r="71" spans="1:22" ht="12.95" customHeight="1" x14ac:dyDescent="0.2">
      <c r="A71" s="274">
        <v>5043</v>
      </c>
      <c r="B71" s="241" t="str">
        <f>E71</f>
        <v>BV</v>
      </c>
      <c r="C71" s="243" t="s">
        <v>1045</v>
      </c>
      <c r="D71" s="275" t="s">
        <v>1046</v>
      </c>
      <c r="E71" s="214" t="str">
        <f>LEFT(D71,1)&amp;MID(D71,SEARCH(" ",D71,1)+1,1)</f>
        <v>BV</v>
      </c>
      <c r="F71" s="242">
        <f>A71</f>
        <v>5043</v>
      </c>
      <c r="G71" s="274">
        <v>500</v>
      </c>
      <c r="H71" s="241" t="str">
        <f t="shared" si="6"/>
        <v xml:space="preserve">Blacksburg, VA </v>
      </c>
      <c r="I71" s="241" t="s">
        <v>847</v>
      </c>
      <c r="L71" s="351" t="str">
        <f t="shared" si="11"/>
        <v>COSSETTE</v>
      </c>
      <c r="M71" s="512">
        <v>5336</v>
      </c>
      <c r="N71" s="511" t="s">
        <v>632</v>
      </c>
      <c r="O71" s="511" t="s">
        <v>633</v>
      </c>
      <c r="P71" s="512" t="s">
        <v>701</v>
      </c>
      <c r="T71" s="348">
        <v>5641</v>
      </c>
      <c r="U71" s="348" t="s">
        <v>1189</v>
      </c>
      <c r="V71" s="348" t="s">
        <v>1190</v>
      </c>
    </row>
    <row r="72" spans="1:22" ht="12.95" customHeight="1" x14ac:dyDescent="0.2">
      <c r="A72" s="274">
        <v>5045</v>
      </c>
      <c r="B72" s="241" t="str">
        <f t="shared" ref="B72:B145" si="12">E72</f>
        <v>SS</v>
      </c>
      <c r="C72" s="243" t="str">
        <f t="shared" ref="C72:C145" si="13">IFERROR(MID(D72,SEARCH("{",D72,1)+1,SEARCH("}",D72,1)-SEARCH("{",D72,1)-1),"")</f>
        <v/>
      </c>
      <c r="D72" s="275" t="s">
        <v>842</v>
      </c>
      <c r="E72" s="214" t="str">
        <f t="shared" ref="E72:E145" si="14">LEFT(D72,1)&amp;MID(D72,SEARCH(" ",D72,1)+1,1)</f>
        <v>SS</v>
      </c>
      <c r="F72" s="242">
        <f t="shared" ref="F72:F145" si="15">A72</f>
        <v>5045</v>
      </c>
      <c r="G72" s="274">
        <v>500</v>
      </c>
      <c r="H72" s="241" t="str">
        <f t="shared" si="6"/>
        <v xml:space="preserve">Shelly Special </v>
      </c>
      <c r="I72" s="241" t="s">
        <v>848</v>
      </c>
      <c r="L72" s="351" t="str">
        <f t="shared" si="11"/>
        <v>COTE</v>
      </c>
      <c r="M72" s="512">
        <v>5628</v>
      </c>
      <c r="N72" s="511" t="s">
        <v>1789</v>
      </c>
      <c r="O72" s="511" t="s">
        <v>862</v>
      </c>
      <c r="P72" s="512" t="s">
        <v>701</v>
      </c>
      <c r="T72" s="348">
        <v>5192</v>
      </c>
      <c r="U72" s="348" t="s">
        <v>606</v>
      </c>
      <c r="V72" s="348" t="s">
        <v>1191</v>
      </c>
    </row>
    <row r="73" spans="1:22" ht="12.95" customHeight="1" x14ac:dyDescent="0.2">
      <c r="A73" s="274">
        <v>5046</v>
      </c>
      <c r="B73" s="241" t="str">
        <f t="shared" si="12"/>
        <v>WS</v>
      </c>
      <c r="C73" s="243" t="str">
        <f t="shared" si="13"/>
        <v/>
      </c>
      <c r="D73" s="275" t="s">
        <v>1645</v>
      </c>
      <c r="E73" s="214" t="str">
        <f t="shared" si="14"/>
        <v>WS</v>
      </c>
      <c r="F73" s="242">
        <f t="shared" si="15"/>
        <v>5046</v>
      </c>
      <c r="G73" s="274">
        <v>500</v>
      </c>
      <c r="H73" s="241" t="str">
        <f t="shared" si="6"/>
        <v xml:space="preserve">Woods Special </v>
      </c>
      <c r="I73" s="241" t="s">
        <v>848</v>
      </c>
      <c r="L73" s="351" t="str">
        <f t="shared" si="11"/>
        <v>and LAURA COTTON</v>
      </c>
      <c r="M73" s="512">
        <v>5440</v>
      </c>
      <c r="N73" s="511" t="s">
        <v>1196</v>
      </c>
      <c r="O73" s="511" t="s">
        <v>1197</v>
      </c>
      <c r="P73" s="512" t="s">
        <v>701</v>
      </c>
      <c r="T73" s="348">
        <v>5139</v>
      </c>
      <c r="U73" s="348" t="s">
        <v>560</v>
      </c>
      <c r="V73" s="348" t="s">
        <v>1192</v>
      </c>
    </row>
    <row r="74" spans="1:22" ht="12.95" customHeight="1" x14ac:dyDescent="0.2">
      <c r="A74" s="274">
        <v>5047</v>
      </c>
      <c r="B74" s="241" t="str">
        <f t="shared" si="12"/>
        <v>RT</v>
      </c>
      <c r="C74" s="243" t="str">
        <f t="shared" si="13"/>
        <v>christopher</v>
      </c>
      <c r="D74" s="275" t="s">
        <v>1690</v>
      </c>
      <c r="E74" s="214" t="str">
        <f t="shared" si="14"/>
        <v>RT</v>
      </c>
      <c r="F74" s="242">
        <f t="shared" si="15"/>
        <v>5047</v>
      </c>
      <c r="G74" s="274"/>
      <c r="H74" s="241" t="str">
        <f t="shared" si="6"/>
        <v xml:space="preserve">Richland, TX </v>
      </c>
      <c r="I74" s="241" t="s">
        <v>847</v>
      </c>
      <c r="L74" s="351" t="str">
        <f t="shared" si="11"/>
        <v>COX</v>
      </c>
      <c r="M74" s="512">
        <v>1100</v>
      </c>
      <c r="N74" s="511" t="s">
        <v>1198</v>
      </c>
      <c r="O74" s="511" t="s">
        <v>1199</v>
      </c>
      <c r="P74" s="512" t="s">
        <v>701</v>
      </c>
      <c r="T74" s="348">
        <v>5681</v>
      </c>
      <c r="U74" s="348" t="s">
        <v>1193</v>
      </c>
      <c r="V74" s="348" t="s">
        <v>1194</v>
      </c>
    </row>
    <row r="75" spans="1:22" ht="12.95" customHeight="1" x14ac:dyDescent="0.2">
      <c r="A75" s="274">
        <v>5048</v>
      </c>
      <c r="B75" s="241" t="str">
        <f t="shared" si="12"/>
        <v>CS</v>
      </c>
      <c r="C75" s="243" t="str">
        <f t="shared" si="13"/>
        <v/>
      </c>
      <c r="D75" s="275" t="s">
        <v>951</v>
      </c>
      <c r="E75" s="214" t="str">
        <f t="shared" si="14"/>
        <v>CS</v>
      </c>
      <c r="F75" s="242">
        <f t="shared" si="15"/>
        <v>5048</v>
      </c>
      <c r="G75" s="274">
        <v>500</v>
      </c>
      <c r="H75" s="241" t="str">
        <f t="shared" si="6"/>
        <v xml:space="preserve">Colo Sprgs Fund Event </v>
      </c>
      <c r="I75" s="241" t="s">
        <v>847</v>
      </c>
      <c r="L75" s="351" t="str">
        <f t="shared" si="11"/>
        <v>CRISPELL</v>
      </c>
      <c r="M75" s="512">
        <v>2306</v>
      </c>
      <c r="N75" s="511" t="s">
        <v>1201</v>
      </c>
      <c r="O75" s="511" t="s">
        <v>1202</v>
      </c>
      <c r="P75" s="512" t="s">
        <v>701</v>
      </c>
      <c r="T75" s="348">
        <v>5336</v>
      </c>
      <c r="U75" s="348" t="s">
        <v>632</v>
      </c>
      <c r="V75" s="348" t="s">
        <v>633</v>
      </c>
    </row>
    <row r="76" spans="1:22" ht="12.95" customHeight="1" x14ac:dyDescent="0.2">
      <c r="A76" s="274">
        <v>5050</v>
      </c>
      <c r="B76" s="241" t="str">
        <f t="shared" si="12"/>
        <v>RF</v>
      </c>
      <c r="C76" s="243" t="str">
        <f t="shared" si="13"/>
        <v>Shaw, Tovar</v>
      </c>
      <c r="D76" s="275" t="s">
        <v>1691</v>
      </c>
      <c r="E76" s="214" t="str">
        <f t="shared" si="14"/>
        <v>RF</v>
      </c>
      <c r="F76" s="242">
        <f t="shared" si="15"/>
        <v>5050</v>
      </c>
      <c r="G76" s="274">
        <v>200</v>
      </c>
      <c r="H76" s="241" t="str">
        <f t="shared" si="6"/>
        <v xml:space="preserve">Returnee Followup Training </v>
      </c>
      <c r="I76" s="241" t="s">
        <v>846</v>
      </c>
      <c r="L76" s="351" t="str">
        <f t="shared" si="11"/>
        <v>CROWELL</v>
      </c>
      <c r="M76" s="512">
        <v>5355</v>
      </c>
      <c r="N76" s="511" t="s">
        <v>1203</v>
      </c>
      <c r="O76" s="511" t="s">
        <v>561</v>
      </c>
      <c r="P76" s="512" t="s">
        <v>701</v>
      </c>
      <c r="T76" s="348">
        <v>5628</v>
      </c>
      <c r="U76" s="348" t="s">
        <v>829</v>
      </c>
      <c r="V76" s="348" t="s">
        <v>1195</v>
      </c>
    </row>
    <row r="77" spans="1:22" ht="12.95" customHeight="1" x14ac:dyDescent="0.2">
      <c r="A77" s="274">
        <v>5051</v>
      </c>
      <c r="B77" s="241" t="str">
        <f t="shared" si="12"/>
        <v>GC</v>
      </c>
      <c r="C77" s="243" t="str">
        <f t="shared" si="13"/>
        <v>Shaw, Tovar</v>
      </c>
      <c r="D77" s="275" t="s">
        <v>1692</v>
      </c>
      <c r="E77" s="214" t="str">
        <f t="shared" si="14"/>
        <v>GC</v>
      </c>
      <c r="F77" s="242">
        <f t="shared" si="15"/>
        <v>5051</v>
      </c>
      <c r="G77" s="264">
        <v>200</v>
      </c>
      <c r="H77" s="241" t="str">
        <f t="shared" si="6"/>
        <v xml:space="preserve">Global Conference ISI Vision Inst ECFA </v>
      </c>
      <c r="I77" s="241" t="s">
        <v>846</v>
      </c>
      <c r="L77" s="351" t="str">
        <f t="shared" si="11"/>
        <v>CROWELL</v>
      </c>
      <c r="M77" s="512">
        <v>5904</v>
      </c>
      <c r="N77" s="511" t="s">
        <v>1204</v>
      </c>
      <c r="O77" s="511" t="s">
        <v>679</v>
      </c>
      <c r="P77" s="512" t="s">
        <v>701</v>
      </c>
      <c r="T77" s="348">
        <v>5440</v>
      </c>
      <c r="U77" s="348" t="s">
        <v>1196</v>
      </c>
      <c r="V77" s="348" t="s">
        <v>1197</v>
      </c>
    </row>
    <row r="78" spans="1:22" ht="12.95" customHeight="1" x14ac:dyDescent="0.2">
      <c r="A78" s="274">
        <v>5062</v>
      </c>
      <c r="B78" s="241" t="str">
        <f t="shared" si="12"/>
        <v>IS</v>
      </c>
      <c r="C78" s="243" t="str">
        <f t="shared" si="13"/>
        <v/>
      </c>
      <c r="D78" s="275" t="s">
        <v>1596</v>
      </c>
      <c r="E78" s="214" t="str">
        <f t="shared" si="14"/>
        <v>IS</v>
      </c>
      <c r="F78" s="242">
        <f t="shared" si="15"/>
        <v>5062</v>
      </c>
      <c r="G78" s="274">
        <v>500</v>
      </c>
      <c r="H78" s="241" t="str">
        <f t="shared" si="6"/>
        <v xml:space="preserve">Ingram Special </v>
      </c>
      <c r="I78" s="241" t="s">
        <v>848</v>
      </c>
      <c r="L78" s="351" t="str">
        <f t="shared" si="11"/>
        <v>CUTLER</v>
      </c>
      <c r="M78" s="512">
        <v>5319</v>
      </c>
      <c r="N78" s="511" t="s">
        <v>1205</v>
      </c>
      <c r="O78" s="511" t="s">
        <v>614</v>
      </c>
      <c r="P78" s="512" t="s">
        <v>701</v>
      </c>
      <c r="T78" s="348">
        <v>5526</v>
      </c>
      <c r="U78" s="348" t="s">
        <v>1642</v>
      </c>
      <c r="V78" s="348" t="s">
        <v>1643</v>
      </c>
    </row>
    <row r="79" spans="1:22" ht="12.95" customHeight="1" x14ac:dyDescent="0.2">
      <c r="A79" s="274">
        <v>5053</v>
      </c>
      <c r="B79" s="241" t="str">
        <f t="shared" si="12"/>
        <v>OD</v>
      </c>
      <c r="C79" s="243" t="str">
        <f t="shared" si="13"/>
        <v>Shaw, Tovar</v>
      </c>
      <c r="D79" s="275" t="s">
        <v>1693</v>
      </c>
      <c r="E79" s="214" t="str">
        <f t="shared" si="14"/>
        <v>OD</v>
      </c>
      <c r="F79" s="242">
        <f t="shared" si="15"/>
        <v>5053</v>
      </c>
      <c r="G79" s="264">
        <v>200</v>
      </c>
      <c r="H79" s="241" t="str">
        <f t="shared" si="6"/>
        <v xml:space="preserve">Overseas Directors in Key Cities --ECFA </v>
      </c>
      <c r="I79" s="241" t="s">
        <v>846</v>
      </c>
      <c r="L79" s="351" t="str">
        <f t="shared" si="11"/>
        <v>DANIEL</v>
      </c>
      <c r="M79" s="512">
        <v>5144</v>
      </c>
      <c r="N79" s="511" t="s">
        <v>1790</v>
      </c>
      <c r="O79" s="511" t="s">
        <v>1207</v>
      </c>
      <c r="P79" s="512" t="s">
        <v>701</v>
      </c>
      <c r="T79" s="348">
        <v>1100</v>
      </c>
      <c r="U79" s="348" t="s">
        <v>1198</v>
      </c>
      <c r="V79" s="348" t="s">
        <v>1199</v>
      </c>
    </row>
    <row r="80" spans="1:22" ht="12.95" customHeight="1" x14ac:dyDescent="0.2">
      <c r="A80" s="274">
        <v>5054</v>
      </c>
      <c r="B80" s="241" t="str">
        <f t="shared" si="12"/>
        <v>ME</v>
      </c>
      <c r="C80" s="243" t="str">
        <f t="shared" si="13"/>
        <v>Shaw, Tovar</v>
      </c>
      <c r="D80" s="275" t="s">
        <v>1694</v>
      </c>
      <c r="E80" s="214" t="str">
        <f t="shared" si="14"/>
        <v>ME</v>
      </c>
      <c r="F80" s="242">
        <f t="shared" si="15"/>
        <v>5054</v>
      </c>
      <c r="G80" s="264">
        <v>200</v>
      </c>
      <c r="H80" s="241" t="str">
        <f t="shared" si="6"/>
        <v xml:space="preserve">Middle Eastern Student Outreach </v>
      </c>
      <c r="I80" s="241" t="s">
        <v>846</v>
      </c>
      <c r="L80" s="351" t="str">
        <f t="shared" si="11"/>
        <v>DAVID</v>
      </c>
      <c r="M80" s="512">
        <v>5539</v>
      </c>
      <c r="N80" s="511" t="s">
        <v>1208</v>
      </c>
      <c r="O80" s="511" t="s">
        <v>777</v>
      </c>
      <c r="P80" s="512" t="s">
        <v>701</v>
      </c>
      <c r="T80" s="348" t="s">
        <v>1122</v>
      </c>
      <c r="U80" s="348" t="s">
        <v>1200</v>
      </c>
      <c r="V80" s="348" t="s">
        <v>644</v>
      </c>
    </row>
    <row r="81" spans="1:22" ht="12.95" customHeight="1" x14ac:dyDescent="0.2">
      <c r="A81" s="274">
        <v>5055</v>
      </c>
      <c r="B81" s="241" t="str">
        <f t="shared" si="12"/>
        <v>MI</v>
      </c>
      <c r="C81" s="243" t="str">
        <f t="shared" si="13"/>
        <v>Shaw, Tovar</v>
      </c>
      <c r="D81" s="275" t="s">
        <v>1695</v>
      </c>
      <c r="E81" s="214" t="str">
        <f t="shared" si="14"/>
        <v>MI</v>
      </c>
      <c r="F81" s="242">
        <f t="shared" si="15"/>
        <v>5055</v>
      </c>
      <c r="G81" s="264">
        <v>200</v>
      </c>
      <c r="H81" s="241" t="str">
        <f t="shared" si="6"/>
        <v xml:space="preserve">Media Initatives </v>
      </c>
      <c r="I81" s="241" t="s">
        <v>846</v>
      </c>
      <c r="L81" s="351" t="str">
        <f t="shared" si="11"/>
        <v>GORDON DECKER</v>
      </c>
      <c r="M81" s="512">
        <v>5508</v>
      </c>
      <c r="N81" s="511" t="s">
        <v>569</v>
      </c>
      <c r="O81" s="511" t="s">
        <v>1791</v>
      </c>
      <c r="P81" s="512" t="s">
        <v>701</v>
      </c>
      <c r="T81" s="348">
        <v>2306</v>
      </c>
      <c r="U81" s="348" t="s">
        <v>1201</v>
      </c>
      <c r="V81" s="348" t="s">
        <v>1202</v>
      </c>
    </row>
    <row r="82" spans="1:22" ht="12.95" customHeight="1" x14ac:dyDescent="0.2">
      <c r="A82" s="274">
        <v>5057</v>
      </c>
      <c r="B82" s="241" t="str">
        <f t="shared" si="12"/>
        <v>IS</v>
      </c>
      <c r="C82" s="243" t="str">
        <f t="shared" si="13"/>
        <v>Shaw, Tovar</v>
      </c>
      <c r="D82" s="275" t="s">
        <v>1696</v>
      </c>
      <c r="E82" s="214" t="str">
        <f t="shared" si="14"/>
        <v>IS</v>
      </c>
      <c r="F82" s="242">
        <f t="shared" si="15"/>
        <v>5057</v>
      </c>
      <c r="G82" s="264">
        <v>200</v>
      </c>
      <c r="H82" s="241" t="str">
        <f t="shared" si="6"/>
        <v xml:space="preserve">International Student Global Initiatie </v>
      </c>
      <c r="I82" s="241" t="s">
        <v>846</v>
      </c>
      <c r="L82" s="351" t="str">
        <f t="shared" si="11"/>
        <v>DELLINGER</v>
      </c>
      <c r="M82" s="512"/>
      <c r="N82" s="511" t="s">
        <v>1210</v>
      </c>
      <c r="O82" s="511" t="s">
        <v>1211</v>
      </c>
      <c r="P82" s="512" t="s">
        <v>701</v>
      </c>
      <c r="T82" s="348">
        <v>5355</v>
      </c>
      <c r="U82" s="348" t="s">
        <v>1203</v>
      </c>
      <c r="V82" s="348" t="s">
        <v>561</v>
      </c>
    </row>
    <row r="83" spans="1:22" ht="12.95" customHeight="1" x14ac:dyDescent="0.2">
      <c r="A83" s="274">
        <v>5059</v>
      </c>
      <c r="B83" s="241" t="str">
        <f t="shared" si="12"/>
        <v>UM</v>
      </c>
      <c r="C83" s="243" t="str">
        <f t="shared" si="13"/>
        <v>Crowell G</v>
      </c>
      <c r="D83" s="275" t="s">
        <v>1697</v>
      </c>
      <c r="E83" s="214" t="str">
        <f t="shared" si="14"/>
        <v>UM</v>
      </c>
      <c r="F83" s="242">
        <f t="shared" si="15"/>
        <v>5059</v>
      </c>
      <c r="G83" s="274">
        <v>500</v>
      </c>
      <c r="H83" s="241" t="str">
        <f t="shared" si="6"/>
        <v xml:space="preserve">Undergraduate Ministires AZ </v>
      </c>
      <c r="I83" s="241" t="s">
        <v>847</v>
      </c>
      <c r="L83" s="351" t="str">
        <f t="shared" si="11"/>
        <v>&amp; PAUL DEMMIE</v>
      </c>
      <c r="M83" s="512">
        <v>5836</v>
      </c>
      <c r="N83" s="511" t="s">
        <v>563</v>
      </c>
      <c r="O83" s="511" t="s">
        <v>1212</v>
      </c>
      <c r="P83" s="512" t="s">
        <v>701</v>
      </c>
      <c r="T83" s="347">
        <v>5904</v>
      </c>
      <c r="U83" s="347" t="s">
        <v>1204</v>
      </c>
      <c r="V83" s="348" t="s">
        <v>679</v>
      </c>
    </row>
    <row r="84" spans="1:22" ht="12.95" customHeight="1" x14ac:dyDescent="0.2">
      <c r="A84" s="274">
        <v>5060</v>
      </c>
      <c r="B84" s="241" t="str">
        <f t="shared" si="12"/>
        <v>JR</v>
      </c>
      <c r="C84" s="243" t="str">
        <f t="shared" si="13"/>
        <v>Shaw, Tovar</v>
      </c>
      <c r="D84" s="275" t="s">
        <v>1698</v>
      </c>
      <c r="E84" s="214" t="str">
        <f t="shared" si="14"/>
        <v>JR</v>
      </c>
      <c r="F84" s="242">
        <f t="shared" si="15"/>
        <v>5060</v>
      </c>
      <c r="G84" s="264">
        <v>200</v>
      </c>
      <c r="H84" s="241" t="str">
        <f t="shared" si="6"/>
        <v xml:space="preserve">Japan Relief Fund </v>
      </c>
      <c r="I84" s="241" t="s">
        <v>846</v>
      </c>
      <c r="L84" s="351" t="str">
        <f t="shared" si="11"/>
        <v>&amp; CAROLYN DEPALATIS</v>
      </c>
      <c r="M84" s="512">
        <v>5787</v>
      </c>
      <c r="N84" s="511" t="s">
        <v>531</v>
      </c>
      <c r="O84" s="511" t="s">
        <v>1213</v>
      </c>
      <c r="P84" s="512" t="s">
        <v>701</v>
      </c>
      <c r="T84" s="348">
        <v>5190</v>
      </c>
      <c r="U84" s="348" t="s">
        <v>1589</v>
      </c>
      <c r="V84" s="348" t="s">
        <v>1588</v>
      </c>
    </row>
    <row r="85" spans="1:22" ht="12.95" customHeight="1" x14ac:dyDescent="0.2">
      <c r="A85" s="274">
        <v>5061</v>
      </c>
      <c r="B85" s="241" t="str">
        <f t="shared" si="12"/>
        <v>CV</v>
      </c>
      <c r="C85" s="243" t="str">
        <f t="shared" si="13"/>
        <v>Downs</v>
      </c>
      <c r="D85" s="275" t="s">
        <v>1700</v>
      </c>
      <c r="E85" s="214" t="str">
        <f t="shared" si="14"/>
        <v>CV</v>
      </c>
      <c r="F85" s="242">
        <f t="shared" si="15"/>
        <v>5061</v>
      </c>
      <c r="G85" s="274">
        <v>500</v>
      </c>
      <c r="H85" s="241" t="str">
        <f t="shared" si="6"/>
        <v xml:space="preserve">Charlottesville, VA </v>
      </c>
      <c r="I85" s="241" t="s">
        <v>847</v>
      </c>
      <c r="L85" s="351" t="str">
        <f t="shared" si="11"/>
        <v>DESAI</v>
      </c>
      <c r="M85" s="512">
        <v>5686</v>
      </c>
      <c r="N85" s="511" t="s">
        <v>589</v>
      </c>
      <c r="O85" s="511" t="s">
        <v>590</v>
      </c>
      <c r="P85" s="512" t="s">
        <v>701</v>
      </c>
      <c r="T85" s="348">
        <v>5319</v>
      </c>
      <c r="U85" s="348" t="s">
        <v>1205</v>
      </c>
      <c r="V85" s="348" t="s">
        <v>614</v>
      </c>
    </row>
    <row r="86" spans="1:22" ht="12.95" customHeight="1" x14ac:dyDescent="0.2">
      <c r="A86" s="274">
        <v>5065</v>
      </c>
      <c r="B86" s="241" t="str">
        <f t="shared" si="12"/>
        <v>SA</v>
      </c>
      <c r="C86" s="243" t="str">
        <f t="shared" si="13"/>
        <v>Harper</v>
      </c>
      <c r="D86" s="275" t="s">
        <v>1701</v>
      </c>
      <c r="E86" s="214" t="str">
        <f t="shared" si="14"/>
        <v>SA</v>
      </c>
      <c r="F86" s="242">
        <f t="shared" si="15"/>
        <v>5065</v>
      </c>
      <c r="G86" s="264">
        <v>200</v>
      </c>
      <c r="H86" s="241" t="str">
        <f t="shared" si="6"/>
        <v xml:space="preserve">SF Area Univ Outreach </v>
      </c>
      <c r="I86" s="241" t="s">
        <v>846</v>
      </c>
      <c r="L86" s="351" t="str">
        <f t="shared" si="11"/>
        <v>DICKINSON</v>
      </c>
      <c r="M86" s="512">
        <v>5328</v>
      </c>
      <c r="N86" s="511" t="s">
        <v>1214</v>
      </c>
      <c r="O86" s="511" t="s">
        <v>524</v>
      </c>
      <c r="P86" s="512" t="s">
        <v>701</v>
      </c>
      <c r="T86" s="348">
        <v>5144</v>
      </c>
      <c r="U86" s="348" t="s">
        <v>1206</v>
      </c>
      <c r="V86" s="348" t="s">
        <v>1207</v>
      </c>
    </row>
    <row r="87" spans="1:22" ht="12.95" customHeight="1" x14ac:dyDescent="0.2">
      <c r="A87" s="274">
        <v>5060</v>
      </c>
      <c r="B87" s="241" t="str">
        <f t="shared" si="12"/>
        <v>DR</v>
      </c>
      <c r="C87" s="243" t="str">
        <f t="shared" si="13"/>
        <v>Shaw, Tovar</v>
      </c>
      <c r="D87" s="275" t="s">
        <v>1699</v>
      </c>
      <c r="E87" s="214" t="str">
        <f t="shared" si="14"/>
        <v>DR</v>
      </c>
      <c r="F87" s="242">
        <f t="shared" si="15"/>
        <v>5060</v>
      </c>
      <c r="G87" s="274">
        <v>200</v>
      </c>
      <c r="H87" s="241" t="str">
        <f t="shared" si="6"/>
        <v xml:space="preserve">Disaster Releif Fund </v>
      </c>
      <c r="I87" s="241" t="s">
        <v>846</v>
      </c>
      <c r="L87" s="351" t="str">
        <f t="shared" si="11"/>
        <v>AND PAMELA DICKSON</v>
      </c>
      <c r="M87" s="512">
        <v>5435</v>
      </c>
      <c r="N87" s="511" t="s">
        <v>1215</v>
      </c>
      <c r="O87" s="511" t="s">
        <v>1216</v>
      </c>
      <c r="P87" s="512" t="s">
        <v>701</v>
      </c>
      <c r="T87" s="348">
        <v>5539</v>
      </c>
      <c r="U87" s="348" t="s">
        <v>1208</v>
      </c>
      <c r="V87" s="348" t="s">
        <v>777</v>
      </c>
    </row>
    <row r="88" spans="1:22" ht="12.95" customHeight="1" x14ac:dyDescent="0.2">
      <c r="A88" s="274">
        <v>5070</v>
      </c>
      <c r="B88" s="241" t="str">
        <f t="shared" si="12"/>
        <v>SB</v>
      </c>
      <c r="C88" s="243" t="str">
        <f t="shared" si="13"/>
        <v>Shaw, Tovar</v>
      </c>
      <c r="D88" s="275" t="s">
        <v>1702</v>
      </c>
      <c r="E88" s="214" t="str">
        <f t="shared" si="14"/>
        <v>SB</v>
      </c>
      <c r="F88" s="242">
        <f t="shared" si="15"/>
        <v>5070</v>
      </c>
      <c r="G88" s="264">
        <v>200</v>
      </c>
      <c r="H88" s="241" t="str">
        <f t="shared" si="6"/>
        <v xml:space="preserve">So. Baptist Collaboration Initiative </v>
      </c>
      <c r="I88" s="241" t="s">
        <v>846</v>
      </c>
      <c r="L88" s="351" t="str">
        <f t="shared" si="11"/>
        <v>and LISA DODD</v>
      </c>
      <c r="M88" s="512">
        <v>5743</v>
      </c>
      <c r="N88" s="511" t="s">
        <v>1056</v>
      </c>
      <c r="O88" s="511" t="s">
        <v>1219</v>
      </c>
      <c r="P88" s="512" t="s">
        <v>701</v>
      </c>
      <c r="T88" s="348">
        <v>5508</v>
      </c>
      <c r="U88" s="348" t="s">
        <v>569</v>
      </c>
      <c r="V88" s="348" t="s">
        <v>1209</v>
      </c>
    </row>
    <row r="89" spans="1:22" ht="12.95" customHeight="1" x14ac:dyDescent="0.2">
      <c r="A89" s="274">
        <v>5075</v>
      </c>
      <c r="B89" s="241" t="str">
        <f t="shared" si="12"/>
        <v>TS</v>
      </c>
      <c r="C89" s="243" t="str">
        <f t="shared" si="13"/>
        <v>Shaw, Tovar</v>
      </c>
      <c r="D89" s="275" t="s">
        <v>1703</v>
      </c>
      <c r="E89" s="214" t="str">
        <f t="shared" si="14"/>
        <v>TS</v>
      </c>
      <c r="F89" s="242">
        <f t="shared" si="15"/>
        <v>5075</v>
      </c>
      <c r="G89" s="264">
        <v>200</v>
      </c>
      <c r="H89" s="241" t="str">
        <f t="shared" si="6"/>
        <v xml:space="preserve">Top Strategic Initiative </v>
      </c>
      <c r="I89" s="241" t="s">
        <v>846</v>
      </c>
      <c r="L89" s="351" t="str">
        <f t="shared" si="11"/>
        <v>DORNING</v>
      </c>
      <c r="M89" s="512">
        <v>5471</v>
      </c>
      <c r="N89" s="511" t="s">
        <v>547</v>
      </c>
      <c r="O89" s="511" t="s">
        <v>548</v>
      </c>
      <c r="P89" s="512" t="s">
        <v>701</v>
      </c>
      <c r="T89" s="348" t="s">
        <v>1122</v>
      </c>
      <c r="U89" s="348" t="s">
        <v>1210</v>
      </c>
      <c r="V89" s="348" t="s">
        <v>1211</v>
      </c>
    </row>
    <row r="90" spans="1:22" ht="12.95" customHeight="1" x14ac:dyDescent="0.2">
      <c r="A90" s="274">
        <v>5080</v>
      </c>
      <c r="B90" s="241" t="str">
        <f t="shared" si="12"/>
        <v>IG</v>
      </c>
      <c r="C90" s="243" t="str">
        <f t="shared" si="13"/>
        <v>Shaw, Tovar</v>
      </c>
      <c r="D90" s="275" t="s">
        <v>1704</v>
      </c>
      <c r="E90" s="214" t="str">
        <f t="shared" si="14"/>
        <v>IG</v>
      </c>
      <c r="F90" s="242">
        <f t="shared" si="15"/>
        <v>5080</v>
      </c>
      <c r="G90" s="264">
        <v>200</v>
      </c>
      <c r="H90" s="241" t="str">
        <f t="shared" si="6"/>
        <v xml:space="preserve">ISI Global impact </v>
      </c>
      <c r="I90" s="241" t="s">
        <v>846</v>
      </c>
      <c r="L90" s="351" t="str">
        <f t="shared" si="11"/>
        <v>DORSCH</v>
      </c>
      <c r="M90" s="512">
        <v>5911</v>
      </c>
      <c r="N90" s="511" t="s">
        <v>1220</v>
      </c>
      <c r="O90" s="511" t="s">
        <v>1221</v>
      </c>
      <c r="P90" s="512" t="s">
        <v>701</v>
      </c>
      <c r="T90" s="348">
        <v>5836</v>
      </c>
      <c r="U90" s="348" t="s">
        <v>563</v>
      </c>
      <c r="V90" s="348" t="s">
        <v>1212</v>
      </c>
    </row>
    <row r="91" spans="1:22" ht="12.95" customHeight="1" x14ac:dyDescent="0.25">
      <c r="A91" s="274">
        <v>5097</v>
      </c>
      <c r="B91" s="246" t="str">
        <f t="shared" si="12"/>
        <v>BS</v>
      </c>
      <c r="C91" s="245" t="str">
        <f t="shared" si="13"/>
        <v/>
      </c>
      <c r="D91" s="245" t="s">
        <v>1047</v>
      </c>
      <c r="E91" s="214" t="str">
        <f t="shared" si="14"/>
        <v>BS</v>
      </c>
      <c r="F91" s="242">
        <f t="shared" si="15"/>
        <v>5097</v>
      </c>
      <c r="G91" s="329">
        <v>500</v>
      </c>
      <c r="H91" s="241" t="str">
        <f t="shared" si="6"/>
        <v xml:space="preserve">Bevan Special </v>
      </c>
      <c r="I91" s="241" t="s">
        <v>848</v>
      </c>
      <c r="L91" s="351" t="str">
        <f t="shared" si="11"/>
        <v>DOUGLAS</v>
      </c>
      <c r="M91" s="512"/>
      <c r="N91" s="511" t="s">
        <v>1222</v>
      </c>
      <c r="O91" s="511" t="s">
        <v>1223</v>
      </c>
      <c r="P91" s="512" t="s">
        <v>701</v>
      </c>
      <c r="T91" s="348">
        <v>5787</v>
      </c>
      <c r="U91" s="348" t="s">
        <v>531</v>
      </c>
      <c r="V91" s="348" t="s">
        <v>1213</v>
      </c>
    </row>
    <row r="92" spans="1:22" ht="12.95" customHeight="1" x14ac:dyDescent="0.2">
      <c r="A92" s="274">
        <v>5098</v>
      </c>
      <c r="B92" s="241" t="str">
        <f t="shared" si="12"/>
        <v>HS</v>
      </c>
      <c r="C92" s="243" t="str">
        <f t="shared" si="13"/>
        <v/>
      </c>
      <c r="D92" s="275" t="s">
        <v>799</v>
      </c>
      <c r="E92" s="214" t="str">
        <f t="shared" si="14"/>
        <v>HS</v>
      </c>
      <c r="F92" s="242">
        <f t="shared" si="15"/>
        <v>5098</v>
      </c>
      <c r="G92" s="274">
        <v>500</v>
      </c>
      <c r="H92" s="241" t="str">
        <f t="shared" si="6"/>
        <v xml:space="preserve">Halverson Special </v>
      </c>
      <c r="I92" s="241" t="s">
        <v>848</v>
      </c>
      <c r="L92" s="351" t="str">
        <f t="shared" si="11"/>
        <v>DOUGLASS</v>
      </c>
      <c r="M92" s="512">
        <v>5647</v>
      </c>
      <c r="N92" s="511" t="s">
        <v>1224</v>
      </c>
      <c r="O92" s="511" t="s">
        <v>526</v>
      </c>
      <c r="P92" s="512" t="s">
        <v>701</v>
      </c>
      <c r="T92" s="348">
        <v>5686</v>
      </c>
      <c r="U92" s="348" t="s">
        <v>589</v>
      </c>
      <c r="V92" s="348" t="s">
        <v>590</v>
      </c>
    </row>
    <row r="93" spans="1:22" ht="12.95" customHeight="1" x14ac:dyDescent="0.2">
      <c r="A93" s="274">
        <v>5100</v>
      </c>
      <c r="B93" s="241" t="str">
        <f t="shared" si="12"/>
        <v>IN</v>
      </c>
      <c r="C93" s="243" t="str">
        <f t="shared" si="13"/>
        <v/>
      </c>
      <c r="D93" s="275" t="s">
        <v>394</v>
      </c>
      <c r="E93" s="214" t="str">
        <f t="shared" si="14"/>
        <v>IN</v>
      </c>
      <c r="F93" s="242">
        <f t="shared" si="15"/>
        <v>5100</v>
      </c>
      <c r="G93" s="264">
        <v>300</v>
      </c>
      <c r="H93" s="241" t="str">
        <f t="shared" si="6"/>
        <v xml:space="preserve">ISI National Conference </v>
      </c>
      <c r="I93" s="241" t="s">
        <v>846</v>
      </c>
      <c r="L93" s="351" t="str">
        <f t="shared" si="11"/>
        <v>and ERIN DOWNS</v>
      </c>
      <c r="M93" s="512">
        <v>5718</v>
      </c>
      <c r="N93" s="511" t="s">
        <v>567</v>
      </c>
      <c r="O93" s="511" t="s">
        <v>1792</v>
      </c>
      <c r="P93" s="512" t="s">
        <v>701</v>
      </c>
      <c r="T93" s="348">
        <v>5328</v>
      </c>
      <c r="U93" s="348" t="s">
        <v>1214</v>
      </c>
      <c r="V93" s="348" t="s">
        <v>524</v>
      </c>
    </row>
    <row r="94" spans="1:22" ht="12.95" customHeight="1" x14ac:dyDescent="0.2">
      <c r="A94" s="274">
        <v>5101</v>
      </c>
      <c r="B94" s="241" t="str">
        <f t="shared" si="12"/>
        <v>GM</v>
      </c>
      <c r="C94" s="243" t="str">
        <f t="shared" si="13"/>
        <v>Shaw, Tovar</v>
      </c>
      <c r="D94" s="275" t="s">
        <v>1705</v>
      </c>
      <c r="E94" s="214" t="str">
        <f t="shared" si="14"/>
        <v>GM</v>
      </c>
      <c r="F94" s="242">
        <f t="shared" si="15"/>
        <v>5101</v>
      </c>
      <c r="G94" s="264">
        <v>300</v>
      </c>
      <c r="H94" s="241" t="str">
        <f t="shared" si="6"/>
        <v xml:space="preserve">Global Ministries </v>
      </c>
      <c r="I94" s="241" t="s">
        <v>846</v>
      </c>
      <c r="L94" s="351" t="str">
        <f t="shared" si="11"/>
        <v>DRAPER</v>
      </c>
      <c r="M94" s="512">
        <v>5806</v>
      </c>
      <c r="N94" s="511" t="s">
        <v>1225</v>
      </c>
      <c r="O94" s="511" t="s">
        <v>527</v>
      </c>
      <c r="P94" s="512" t="s">
        <v>701</v>
      </c>
      <c r="T94" s="348">
        <v>5435</v>
      </c>
      <c r="U94" s="348" t="s">
        <v>1215</v>
      </c>
      <c r="V94" s="348" t="s">
        <v>1216</v>
      </c>
    </row>
    <row r="95" spans="1:22" ht="12.95" customHeight="1" x14ac:dyDescent="0.2">
      <c r="A95" s="274">
        <v>5102</v>
      </c>
      <c r="B95" s="241" t="str">
        <f t="shared" si="12"/>
        <v>GR</v>
      </c>
      <c r="C95" s="243" t="str">
        <f t="shared" si="13"/>
        <v>Shaw, Tovar</v>
      </c>
      <c r="D95" s="275" t="s">
        <v>1706</v>
      </c>
      <c r="E95" s="214" t="str">
        <f t="shared" si="14"/>
        <v>GR</v>
      </c>
      <c r="F95" s="242">
        <f t="shared" si="15"/>
        <v>5102</v>
      </c>
      <c r="G95" s="264">
        <v>300</v>
      </c>
      <c r="H95" s="241" t="str">
        <f t="shared" si="6"/>
        <v xml:space="preserve">Global Returnee Education </v>
      </c>
      <c r="I95" s="241" t="s">
        <v>846</v>
      </c>
      <c r="L95" s="351" t="str">
        <f t="shared" si="11"/>
        <v>&amp; JANET DUGO</v>
      </c>
      <c r="M95" s="512">
        <v>5147</v>
      </c>
      <c r="N95" s="511" t="s">
        <v>587</v>
      </c>
      <c r="O95" s="511" t="s">
        <v>1226</v>
      </c>
      <c r="P95" s="512" t="s">
        <v>701</v>
      </c>
      <c r="T95" s="348" t="s">
        <v>1122</v>
      </c>
      <c r="U95" s="348" t="s">
        <v>1217</v>
      </c>
      <c r="V95" s="348" t="s">
        <v>1218</v>
      </c>
    </row>
    <row r="96" spans="1:22" ht="12.95" customHeight="1" x14ac:dyDescent="0.2">
      <c r="A96" s="274">
        <v>5103</v>
      </c>
      <c r="B96" s="241" t="str">
        <f t="shared" si="12"/>
        <v>ID</v>
      </c>
      <c r="C96" s="243" t="str">
        <f t="shared" si="13"/>
        <v>Shaw, Tovar</v>
      </c>
      <c r="D96" s="275" t="s">
        <v>1707</v>
      </c>
      <c r="E96" s="214" t="str">
        <f t="shared" si="14"/>
        <v>ID</v>
      </c>
      <c r="F96" s="242">
        <f t="shared" si="15"/>
        <v>5103</v>
      </c>
      <c r="G96" s="264">
        <v>300</v>
      </c>
      <c r="H96" s="241" t="str">
        <f t="shared" si="6"/>
        <v xml:space="preserve">Int'l Director Year 1 Seed Money </v>
      </c>
      <c r="I96" s="241" t="s">
        <v>846</v>
      </c>
      <c r="L96" s="351" t="str">
        <f t="shared" si="11"/>
        <v>DUMARESQ</v>
      </c>
      <c r="M96" s="512">
        <v>5206</v>
      </c>
      <c r="N96" s="511" t="s">
        <v>1793</v>
      </c>
      <c r="O96" s="511" t="s">
        <v>1794</v>
      </c>
      <c r="P96" s="512" t="s">
        <v>701</v>
      </c>
      <c r="T96" s="348">
        <v>5743</v>
      </c>
      <c r="U96" s="348" t="s">
        <v>1056</v>
      </c>
      <c r="V96" s="348" t="s">
        <v>1219</v>
      </c>
    </row>
    <row r="97" spans="1:22" ht="12.95" customHeight="1" x14ac:dyDescent="0.2">
      <c r="A97" s="274">
        <v>5104</v>
      </c>
      <c r="B97" s="241" t="str">
        <f t="shared" si="12"/>
        <v>KR</v>
      </c>
      <c r="C97" s="243" t="str">
        <f t="shared" si="13"/>
        <v>Shaw, Tovar</v>
      </c>
      <c r="D97" s="275" t="s">
        <v>1708</v>
      </c>
      <c r="E97" s="214" t="str">
        <f t="shared" si="14"/>
        <v>KR</v>
      </c>
      <c r="F97" s="242">
        <f t="shared" si="15"/>
        <v>5104</v>
      </c>
      <c r="G97" s="264">
        <v>300</v>
      </c>
      <c r="H97" s="241" t="str">
        <f t="shared" si="6"/>
        <v xml:space="preserve">Katrina Relief </v>
      </c>
      <c r="I97" s="241" t="s">
        <v>846</v>
      </c>
      <c r="L97" s="351" t="str">
        <f t="shared" si="11"/>
        <v>DUNNE</v>
      </c>
      <c r="M97" s="512">
        <v>5161</v>
      </c>
      <c r="N97" s="511" t="s">
        <v>1227</v>
      </c>
      <c r="O97" s="511" t="s">
        <v>649</v>
      </c>
      <c r="P97" s="512" t="s">
        <v>701</v>
      </c>
      <c r="T97" s="348">
        <v>5471</v>
      </c>
      <c r="U97" s="348" t="s">
        <v>547</v>
      </c>
      <c r="V97" s="348" t="s">
        <v>548</v>
      </c>
    </row>
    <row r="98" spans="1:22" ht="12.95" customHeight="1" x14ac:dyDescent="0.2">
      <c r="A98" s="274">
        <v>5105</v>
      </c>
      <c r="B98" s="241" t="str">
        <f t="shared" si="12"/>
        <v>NS</v>
      </c>
      <c r="C98" s="243" t="str">
        <f t="shared" si="13"/>
        <v>Tovar</v>
      </c>
      <c r="D98" s="275" t="s">
        <v>1709</v>
      </c>
      <c r="E98" s="214" t="str">
        <f t="shared" si="14"/>
        <v>NS</v>
      </c>
      <c r="F98" s="242">
        <f t="shared" si="15"/>
        <v>5105</v>
      </c>
      <c r="G98" s="264">
        <v>300</v>
      </c>
      <c r="H98" s="241" t="str">
        <f t="shared" si="6"/>
        <v xml:space="preserve">National Staff Conference </v>
      </c>
      <c r="I98" s="241" t="s">
        <v>846</v>
      </c>
      <c r="L98" s="351" t="str">
        <f>RIGHT(O98,LEN(O98)-SEARCH(" ",O98,1))</f>
        <v>Durstenfeld</v>
      </c>
      <c r="M98" s="512">
        <v>5715</v>
      </c>
      <c r="N98" s="511" t="s">
        <v>1228</v>
      </c>
      <c r="O98" s="511" t="s">
        <v>1229</v>
      </c>
      <c r="P98" s="512" t="s">
        <v>701</v>
      </c>
      <c r="T98" s="348">
        <v>5911</v>
      </c>
      <c r="U98" s="348" t="s">
        <v>1220</v>
      </c>
      <c r="V98" s="348" t="s">
        <v>1221</v>
      </c>
    </row>
    <row r="99" spans="1:22" ht="12.95" customHeight="1" x14ac:dyDescent="0.2">
      <c r="A99" s="274">
        <v>5106</v>
      </c>
      <c r="B99" s="241" t="str">
        <f t="shared" si="12"/>
        <v>SW</v>
      </c>
      <c r="C99" s="243" t="str">
        <f t="shared" si="13"/>
        <v>Shaw, Tovar</v>
      </c>
      <c r="D99" s="275" t="s">
        <v>1710</v>
      </c>
      <c r="E99" s="214" t="str">
        <f t="shared" si="14"/>
        <v>SW</v>
      </c>
      <c r="F99" s="242">
        <f t="shared" si="15"/>
        <v>5106</v>
      </c>
      <c r="G99" s="264">
        <v>300</v>
      </c>
      <c r="H99" s="241" t="str">
        <f t="shared" si="6"/>
        <v xml:space="preserve">Student Website Design Costs </v>
      </c>
      <c r="I99" s="241" t="s">
        <v>846</v>
      </c>
      <c r="L99" s="351" t="str">
        <f t="shared" ref="L99:L165" si="16">RIGHT(O99,LEN(O99)-SEARCH(" ",O99,1))</f>
        <v>AND JUDY DYKSTRA</v>
      </c>
      <c r="M99" s="512">
        <v>5914</v>
      </c>
      <c r="N99" s="511" t="s">
        <v>1230</v>
      </c>
      <c r="O99" s="511" t="s">
        <v>1231</v>
      </c>
      <c r="P99" s="512" t="s">
        <v>701</v>
      </c>
      <c r="T99" s="348" t="s">
        <v>1122</v>
      </c>
      <c r="U99" s="348" t="s">
        <v>1222</v>
      </c>
      <c r="V99" s="348" t="s">
        <v>1223</v>
      </c>
    </row>
    <row r="100" spans="1:22" ht="12.95" customHeight="1" x14ac:dyDescent="0.2">
      <c r="A100" s="274">
        <v>5107</v>
      </c>
      <c r="B100" s="241" t="str">
        <f t="shared" si="12"/>
        <v>WC</v>
      </c>
      <c r="C100" s="243" t="str">
        <f t="shared" si="13"/>
        <v>Shaw, Tovar</v>
      </c>
      <c r="D100" s="275" t="s">
        <v>1711</v>
      </c>
      <c r="E100" s="214" t="str">
        <f t="shared" si="14"/>
        <v>WC</v>
      </c>
      <c r="F100" s="242">
        <f t="shared" si="15"/>
        <v>5107</v>
      </c>
      <c r="G100" s="264">
        <v>300</v>
      </c>
      <c r="H100" s="241" t="str">
        <f t="shared" si="6"/>
        <v xml:space="preserve">Web Coordinator </v>
      </c>
      <c r="I100" s="241" t="s">
        <v>846</v>
      </c>
      <c r="L100" s="351" t="str">
        <f t="shared" si="16"/>
        <v>VALERIE</v>
      </c>
      <c r="M100" s="512">
        <v>5396</v>
      </c>
      <c r="N100" s="511" t="s">
        <v>1232</v>
      </c>
      <c r="O100" s="511" t="s">
        <v>824</v>
      </c>
      <c r="P100" s="512" t="s">
        <v>701</v>
      </c>
      <c r="T100" s="348">
        <v>5647</v>
      </c>
      <c r="U100" s="348" t="s">
        <v>1224</v>
      </c>
      <c r="V100" s="348" t="s">
        <v>526</v>
      </c>
    </row>
    <row r="101" spans="1:22" ht="12.95" customHeight="1" x14ac:dyDescent="0.2">
      <c r="A101" s="274">
        <v>5108</v>
      </c>
      <c r="B101" s="241" t="str">
        <f t="shared" si="12"/>
        <v>MF</v>
      </c>
      <c r="C101" s="243" t="str">
        <f t="shared" si="13"/>
        <v>Shaw, Tovar</v>
      </c>
      <c r="D101" s="275" t="s">
        <v>1712</v>
      </c>
      <c r="E101" s="214" t="str">
        <f t="shared" si="14"/>
        <v>MF</v>
      </c>
      <c r="F101" s="242">
        <f t="shared" si="15"/>
        <v>5108</v>
      </c>
      <c r="G101" s="264">
        <v>300</v>
      </c>
      <c r="H101" s="241" t="str">
        <f t="shared" si="6"/>
        <v xml:space="preserve">Memorial Fund </v>
      </c>
      <c r="I101" s="241" t="s">
        <v>846</v>
      </c>
      <c r="L101" s="351" t="str">
        <f t="shared" si="16"/>
        <v>EGAN</v>
      </c>
      <c r="M101" s="512">
        <v>5596</v>
      </c>
      <c r="N101" s="511" t="s">
        <v>551</v>
      </c>
      <c r="O101" s="511" t="s">
        <v>552</v>
      </c>
      <c r="P101" s="512" t="s">
        <v>701</v>
      </c>
      <c r="T101" s="348">
        <v>5718</v>
      </c>
      <c r="U101" s="348" t="s">
        <v>567</v>
      </c>
      <c r="V101" s="348" t="s">
        <v>568</v>
      </c>
    </row>
    <row r="102" spans="1:22" ht="12.95" customHeight="1" x14ac:dyDescent="0.2">
      <c r="A102" s="274">
        <v>5109</v>
      </c>
      <c r="B102" s="241" t="str">
        <f t="shared" si="12"/>
        <v>C(</v>
      </c>
      <c r="C102" s="243" t="str">
        <f t="shared" si="13"/>
        <v>Shaw, Tovar</v>
      </c>
      <c r="D102" s="275" t="s">
        <v>1713</v>
      </c>
      <c r="E102" s="214" t="str">
        <f t="shared" si="14"/>
        <v>C(</v>
      </c>
      <c r="F102" s="242">
        <f t="shared" si="15"/>
        <v>5109</v>
      </c>
      <c r="G102" s="264">
        <v>300</v>
      </c>
      <c r="H102" s="241" t="str">
        <f t="shared" si="6"/>
        <v xml:space="preserve">Cumulus9 </v>
      </c>
      <c r="I102" s="241" t="s">
        <v>846</v>
      </c>
      <c r="L102" s="351" t="str">
        <f t="shared" si="16"/>
        <v>EHMANN</v>
      </c>
      <c r="M102" s="512">
        <v>5239</v>
      </c>
      <c r="N102" s="511" t="s">
        <v>1233</v>
      </c>
      <c r="O102" s="511" t="s">
        <v>562</v>
      </c>
      <c r="P102" s="512" t="s">
        <v>701</v>
      </c>
      <c r="T102" s="348">
        <v>5806</v>
      </c>
      <c r="U102" s="348" t="s">
        <v>1225</v>
      </c>
      <c r="V102" s="348" t="s">
        <v>527</v>
      </c>
    </row>
    <row r="103" spans="1:22" ht="12.95" customHeight="1" x14ac:dyDescent="0.2">
      <c r="A103" s="274">
        <v>5111</v>
      </c>
      <c r="B103" s="241" t="str">
        <f t="shared" si="12"/>
        <v>PM</v>
      </c>
      <c r="C103" s="243" t="str">
        <f t="shared" si="13"/>
        <v/>
      </c>
      <c r="D103" s="275" t="s">
        <v>736</v>
      </c>
      <c r="E103" s="214" t="str">
        <f t="shared" si="14"/>
        <v>PM</v>
      </c>
      <c r="F103" s="242">
        <f t="shared" si="15"/>
        <v>5111</v>
      </c>
      <c r="G103" s="264">
        <v>500</v>
      </c>
      <c r="H103" s="241" t="str">
        <f t="shared" si="6"/>
        <v xml:space="preserve">Ponten, Mary Jane </v>
      </c>
      <c r="I103" s="241" t="s">
        <v>849</v>
      </c>
      <c r="L103" s="351" t="str">
        <f t="shared" si="16"/>
        <v>EILERS</v>
      </c>
      <c r="M103" s="512">
        <v>5949</v>
      </c>
      <c r="N103" s="511" t="s">
        <v>1234</v>
      </c>
      <c r="O103" s="511" t="s">
        <v>518</v>
      </c>
      <c r="P103" s="512" t="s">
        <v>701</v>
      </c>
      <c r="T103" s="348">
        <v>5147</v>
      </c>
      <c r="U103" s="348" t="s">
        <v>587</v>
      </c>
      <c r="V103" s="348" t="s">
        <v>1226</v>
      </c>
    </row>
    <row r="104" spans="1:22" ht="12.95" customHeight="1" x14ac:dyDescent="0.2">
      <c r="A104" s="274">
        <v>5112</v>
      </c>
      <c r="B104" s="241" t="str">
        <f t="shared" si="12"/>
        <v>MF</v>
      </c>
      <c r="C104" s="243" t="str">
        <f t="shared" si="13"/>
        <v>Shaw, Tovar</v>
      </c>
      <c r="D104" s="275" t="s">
        <v>1714</v>
      </c>
      <c r="E104" s="214" t="str">
        <f t="shared" si="14"/>
        <v>MF</v>
      </c>
      <c r="F104" s="242">
        <f t="shared" si="15"/>
        <v>5112</v>
      </c>
      <c r="G104" s="264">
        <v>300</v>
      </c>
      <c r="H104" s="241" t="str">
        <f t="shared" si="6"/>
        <v xml:space="preserve">Memorial Fund - Elcho Redding </v>
      </c>
      <c r="I104" s="241" t="s">
        <v>848</v>
      </c>
      <c r="L104" s="351" t="str">
        <f t="shared" si="16"/>
        <v>EILERS</v>
      </c>
      <c r="M104" s="512">
        <v>5180</v>
      </c>
      <c r="N104" s="511" t="s">
        <v>1461</v>
      </c>
      <c r="O104" s="511" t="s">
        <v>1462</v>
      </c>
      <c r="P104" s="512" t="s">
        <v>701</v>
      </c>
      <c r="T104" s="348">
        <v>5161</v>
      </c>
      <c r="U104" s="348" t="s">
        <v>1227</v>
      </c>
      <c r="V104" s="348" t="s">
        <v>649</v>
      </c>
    </row>
    <row r="105" spans="1:22" ht="12.95" customHeight="1" x14ac:dyDescent="0.2">
      <c r="A105" s="274">
        <v>5113</v>
      </c>
      <c r="B105" s="241" t="str">
        <f t="shared" si="12"/>
        <v>MP</v>
      </c>
      <c r="C105" s="243" t="str">
        <f t="shared" si="13"/>
        <v>Shaw, Tovar</v>
      </c>
      <c r="D105" s="275" t="s">
        <v>1715</v>
      </c>
      <c r="E105" s="214" t="str">
        <f t="shared" si="14"/>
        <v>MP</v>
      </c>
      <c r="F105" s="242">
        <f t="shared" si="15"/>
        <v>5113</v>
      </c>
      <c r="G105" s="264">
        <v>500</v>
      </c>
      <c r="H105" s="241" t="str">
        <f t="shared" si="6"/>
        <v xml:space="preserve">Martha Peterson Memorial Fund </v>
      </c>
      <c r="I105" s="241" t="s">
        <v>848</v>
      </c>
      <c r="L105" s="351" t="str">
        <f t="shared" si="16"/>
        <v>ELISHA</v>
      </c>
      <c r="M105" s="512">
        <v>5533</v>
      </c>
      <c r="N105" s="511" t="s">
        <v>1235</v>
      </c>
      <c r="O105" s="511" t="s">
        <v>778</v>
      </c>
      <c r="P105" s="512" t="s">
        <v>701</v>
      </c>
      <c r="T105" s="348" t="s">
        <v>1122</v>
      </c>
      <c r="U105" s="348" t="s">
        <v>1459</v>
      </c>
      <c r="V105" s="348" t="s">
        <v>1460</v>
      </c>
    </row>
    <row r="106" spans="1:22" ht="12.95" customHeight="1" x14ac:dyDescent="0.2">
      <c r="A106" s="274">
        <v>5114</v>
      </c>
      <c r="B106" s="241" t="str">
        <f t="shared" si="12"/>
        <v>RE</v>
      </c>
      <c r="C106" s="243" t="str">
        <f t="shared" si="13"/>
        <v>Shaw, Tovar</v>
      </c>
      <c r="D106" s="275" t="s">
        <v>1716</v>
      </c>
      <c r="E106" s="214" t="str">
        <f t="shared" si="14"/>
        <v>RE</v>
      </c>
      <c r="F106" s="242">
        <f t="shared" si="15"/>
        <v>5114</v>
      </c>
      <c r="G106" s="264">
        <v>500</v>
      </c>
      <c r="H106" s="241" t="str">
        <f t="shared" si="6"/>
        <v xml:space="preserve">Roelof Engelbrecht Memorial Fund </v>
      </c>
      <c r="I106" s="241" t="s">
        <v>848</v>
      </c>
      <c r="L106" s="351" t="str">
        <f t="shared" si="16"/>
        <v>&amp; LESLEY EMERY</v>
      </c>
      <c r="M106" s="512">
        <v>5404</v>
      </c>
      <c r="N106" s="511" t="s">
        <v>661</v>
      </c>
      <c r="O106" s="511" t="s">
        <v>1236</v>
      </c>
      <c r="P106" s="512" t="s">
        <v>704</v>
      </c>
      <c r="T106" s="348">
        <v>5715</v>
      </c>
      <c r="U106" s="348" t="s">
        <v>1228</v>
      </c>
      <c r="V106" s="348" t="s">
        <v>1229</v>
      </c>
    </row>
    <row r="107" spans="1:22" ht="12.95" customHeight="1" x14ac:dyDescent="0.2">
      <c r="A107" s="274">
        <v>5115</v>
      </c>
      <c r="B107" s="241" t="str">
        <f t="shared" si="12"/>
        <v>SS</v>
      </c>
      <c r="C107" s="243" t="str">
        <f t="shared" si="13"/>
        <v>Shaw, Tovar</v>
      </c>
      <c r="D107" s="275" t="s">
        <v>1717</v>
      </c>
      <c r="E107" s="214" t="str">
        <f t="shared" si="14"/>
        <v>SS</v>
      </c>
      <c r="F107" s="242">
        <f t="shared" si="15"/>
        <v>5115</v>
      </c>
      <c r="G107" s="264">
        <v>300</v>
      </c>
      <c r="H107" s="241" t="str">
        <f t="shared" si="6"/>
        <v xml:space="preserve">Singapore Seminar </v>
      </c>
      <c r="I107" s="241" t="s">
        <v>846</v>
      </c>
      <c r="L107" s="351" t="e">
        <f t="shared" si="16"/>
        <v>#VALUE!</v>
      </c>
      <c r="M107" s="512">
        <v>5404</v>
      </c>
      <c r="N107" s="511"/>
      <c r="O107" s="511"/>
      <c r="P107" s="512" t="s">
        <v>701</v>
      </c>
      <c r="T107" s="348">
        <v>5914</v>
      </c>
      <c r="U107" s="348" t="s">
        <v>1230</v>
      </c>
      <c r="V107" s="348" t="s">
        <v>1231</v>
      </c>
    </row>
    <row r="108" spans="1:22" ht="12.95" customHeight="1" x14ac:dyDescent="0.2">
      <c r="A108" s="274">
        <v>5116</v>
      </c>
      <c r="B108" s="241" t="str">
        <f t="shared" si="12"/>
        <v>SS</v>
      </c>
      <c r="C108" s="243" t="str">
        <f t="shared" si="13"/>
        <v>Shaw, Tovar</v>
      </c>
      <c r="D108" s="275" t="s">
        <v>1718</v>
      </c>
      <c r="E108" s="214" t="str">
        <f t="shared" si="14"/>
        <v>SS</v>
      </c>
      <c r="F108" s="242">
        <f t="shared" si="15"/>
        <v>5116</v>
      </c>
      <c r="G108" s="264">
        <v>300</v>
      </c>
      <c r="H108" s="241" t="str">
        <f t="shared" si="6"/>
        <v xml:space="preserve">Singapore Staff Conference </v>
      </c>
      <c r="I108" s="241" t="s">
        <v>846</v>
      </c>
      <c r="L108" s="351" t="str">
        <f t="shared" si="16"/>
        <v>EVANS</v>
      </c>
      <c r="M108" s="512">
        <v>5320</v>
      </c>
      <c r="N108" s="511" t="s">
        <v>1237</v>
      </c>
      <c r="O108" s="511" t="s">
        <v>863</v>
      </c>
      <c r="P108" s="512" t="s">
        <v>701</v>
      </c>
      <c r="T108" s="348">
        <v>5396</v>
      </c>
      <c r="U108" s="348" t="s">
        <v>1232</v>
      </c>
      <c r="V108" s="348" t="s">
        <v>824</v>
      </c>
    </row>
    <row r="109" spans="1:22" ht="12.95" customHeight="1" x14ac:dyDescent="0.2">
      <c r="A109" s="274">
        <v>5117</v>
      </c>
      <c r="B109" s="241" t="str">
        <f t="shared" si="12"/>
        <v>DD</v>
      </c>
      <c r="C109" s="243" t="str">
        <f t="shared" si="13"/>
        <v>Shaw, Tovar</v>
      </c>
      <c r="D109" s="275" t="s">
        <v>1719</v>
      </c>
      <c r="E109" s="214" t="str">
        <f t="shared" si="14"/>
        <v>DD</v>
      </c>
      <c r="F109" s="242">
        <f t="shared" si="15"/>
        <v>5117</v>
      </c>
      <c r="G109" s="264">
        <v>300</v>
      </c>
      <c r="H109" s="241" t="str">
        <f t="shared" si="6"/>
        <v xml:space="preserve">Donor Database System </v>
      </c>
      <c r="I109" s="241" t="s">
        <v>846</v>
      </c>
      <c r="L109" s="351" t="str">
        <f t="shared" si="16"/>
        <v>&amp; HEATHER FANNIN</v>
      </c>
      <c r="M109" s="512">
        <v>5175</v>
      </c>
      <c r="N109" s="511" t="s">
        <v>601</v>
      </c>
      <c r="O109" s="511" t="s">
        <v>1239</v>
      </c>
      <c r="P109" s="512" t="s">
        <v>701</v>
      </c>
      <c r="T109" s="348">
        <v>5596</v>
      </c>
      <c r="U109" s="348" t="s">
        <v>551</v>
      </c>
      <c r="V109" s="348" t="s">
        <v>552</v>
      </c>
    </row>
    <row r="110" spans="1:22" ht="12.95" customHeight="1" x14ac:dyDescent="0.2">
      <c r="A110" s="274">
        <v>5118</v>
      </c>
      <c r="B110" s="241" t="str">
        <f t="shared" si="12"/>
        <v>DM</v>
      </c>
      <c r="C110" s="243" t="str">
        <f t="shared" si="13"/>
        <v>Shaw, Tovar</v>
      </c>
      <c r="D110" s="275" t="s">
        <v>1720</v>
      </c>
      <c r="E110" s="214" t="str">
        <f t="shared" si="14"/>
        <v>DM</v>
      </c>
      <c r="F110" s="242">
        <f t="shared" si="15"/>
        <v>5118</v>
      </c>
      <c r="G110" s="264">
        <v>300</v>
      </c>
      <c r="H110" s="241" t="str">
        <f t="shared" si="6"/>
        <v xml:space="preserve">Direct Mail Development </v>
      </c>
      <c r="I110" s="241" t="s">
        <v>846</v>
      </c>
      <c r="L110" s="351" t="str">
        <f t="shared" si="16"/>
        <v>FATTY</v>
      </c>
      <c r="M110" s="512">
        <v>5580</v>
      </c>
      <c r="N110" s="511" t="s">
        <v>1240</v>
      </c>
      <c r="O110" s="511" t="s">
        <v>779</v>
      </c>
      <c r="P110" s="512" t="s">
        <v>701</v>
      </c>
      <c r="T110" s="348">
        <v>5239</v>
      </c>
      <c r="U110" s="348" t="s">
        <v>1233</v>
      </c>
      <c r="V110" s="348" t="s">
        <v>562</v>
      </c>
    </row>
    <row r="111" spans="1:22" ht="12.95" customHeight="1" x14ac:dyDescent="0.2">
      <c r="A111" s="274">
        <v>5119</v>
      </c>
      <c r="B111" s="241" t="str">
        <f t="shared" si="12"/>
        <v>WT</v>
      </c>
      <c r="C111" s="243" t="str">
        <f t="shared" si="13"/>
        <v>Shaw, Tovar</v>
      </c>
      <c r="D111" s="275" t="s">
        <v>1721</v>
      </c>
      <c r="E111" s="214" t="str">
        <f t="shared" si="14"/>
        <v>WT</v>
      </c>
      <c r="F111" s="242">
        <f t="shared" si="15"/>
        <v>5119</v>
      </c>
      <c r="G111" s="264">
        <v>300</v>
      </c>
      <c r="H111" s="241" t="str">
        <f t="shared" si="6"/>
        <v xml:space="preserve">Website Training Project </v>
      </c>
      <c r="I111" s="241" t="s">
        <v>846</v>
      </c>
      <c r="L111" s="351" t="str">
        <f t="shared" si="16"/>
        <v>FINCK</v>
      </c>
      <c r="M111" s="512">
        <v>3100</v>
      </c>
      <c r="N111" s="511" t="s">
        <v>1241</v>
      </c>
      <c r="O111" s="511" t="s">
        <v>1795</v>
      </c>
      <c r="P111" s="512" t="s">
        <v>701</v>
      </c>
      <c r="T111" s="348">
        <v>5949</v>
      </c>
      <c r="U111" s="348" t="s">
        <v>1234</v>
      </c>
      <c r="V111" s="348" t="s">
        <v>518</v>
      </c>
    </row>
    <row r="112" spans="1:22" ht="12.95" customHeight="1" x14ac:dyDescent="0.2">
      <c r="A112" s="274">
        <v>5120</v>
      </c>
      <c r="B112" s="241" t="str">
        <f t="shared" si="12"/>
        <v>CS</v>
      </c>
      <c r="C112" s="243" t="str">
        <f t="shared" si="13"/>
        <v>Shaw, Tovar</v>
      </c>
      <c r="D112" s="275" t="s">
        <v>1722</v>
      </c>
      <c r="E112" s="214" t="str">
        <f t="shared" si="14"/>
        <v>CS</v>
      </c>
      <c r="F112" s="242">
        <f t="shared" si="15"/>
        <v>5120</v>
      </c>
      <c r="G112" s="264">
        <v>300</v>
      </c>
      <c r="H112" s="241" t="str">
        <f t="shared" si="6"/>
        <v xml:space="preserve">Counseling/FLD Staff </v>
      </c>
      <c r="I112" s="241" t="s">
        <v>846</v>
      </c>
      <c r="L112" s="351" t="str">
        <f t="shared" si="16"/>
        <v>FITZGERALD</v>
      </c>
      <c r="M112" s="512">
        <v>5690</v>
      </c>
      <c r="N112" s="511" t="s">
        <v>1243</v>
      </c>
      <c r="O112" s="511" t="s">
        <v>1244</v>
      </c>
      <c r="P112" s="512" t="s">
        <v>701</v>
      </c>
      <c r="T112" s="348">
        <v>5180</v>
      </c>
      <c r="U112" s="348" t="s">
        <v>1461</v>
      </c>
      <c r="V112" s="348" t="s">
        <v>1462</v>
      </c>
    </row>
    <row r="113" spans="1:22" ht="12.95" customHeight="1" x14ac:dyDescent="0.2">
      <c r="A113" s="274">
        <v>5121</v>
      </c>
      <c r="B113" s="241" t="str">
        <f t="shared" si="12"/>
        <v>ST</v>
      </c>
      <c r="C113" s="243" t="str">
        <f t="shared" si="13"/>
        <v>Shaw, Tovar</v>
      </c>
      <c r="D113" s="275" t="s">
        <v>1723</v>
      </c>
      <c r="E113" s="214" t="str">
        <f t="shared" si="14"/>
        <v>ST</v>
      </c>
      <c r="F113" s="242">
        <f t="shared" si="15"/>
        <v>5121</v>
      </c>
      <c r="G113" s="264">
        <v>300</v>
      </c>
      <c r="H113" s="241" t="str">
        <f t="shared" si="6"/>
        <v xml:space="preserve">Specialized Training Project </v>
      </c>
      <c r="I113" s="241" t="s">
        <v>846</v>
      </c>
      <c r="L113" s="351" t="str">
        <f t="shared" si="16"/>
        <v>STEVE &amp; SANDRA</v>
      </c>
      <c r="M113" s="512">
        <v>5563</v>
      </c>
      <c r="N113" s="511" t="s">
        <v>1245</v>
      </c>
      <c r="O113" s="511" t="s">
        <v>1796</v>
      </c>
      <c r="P113" s="512" t="s">
        <v>701</v>
      </c>
      <c r="T113" s="348">
        <v>5533</v>
      </c>
      <c r="U113" s="348" t="s">
        <v>1235</v>
      </c>
      <c r="V113" s="348" t="s">
        <v>778</v>
      </c>
    </row>
    <row r="114" spans="1:22" ht="12.95" customHeight="1" x14ac:dyDescent="0.2">
      <c r="A114" s="274">
        <v>5122</v>
      </c>
      <c r="B114" s="241" t="str">
        <f t="shared" si="12"/>
        <v>PV</v>
      </c>
      <c r="C114" s="243" t="str">
        <f t="shared" si="13"/>
        <v>Shaw, Tovar</v>
      </c>
      <c r="D114" s="275" t="s">
        <v>1724</v>
      </c>
      <c r="E114" s="214" t="str">
        <f t="shared" si="14"/>
        <v>PV</v>
      </c>
      <c r="F114" s="242">
        <f t="shared" si="15"/>
        <v>5122</v>
      </c>
      <c r="G114" s="264">
        <v>300</v>
      </c>
      <c r="H114" s="241" t="str">
        <f t="shared" si="6"/>
        <v xml:space="preserve">Princeton Video Work </v>
      </c>
      <c r="I114" s="241" t="s">
        <v>846</v>
      </c>
      <c r="L114" s="351" t="str">
        <f t="shared" si="16"/>
        <v>FLYNN</v>
      </c>
      <c r="M114" s="512">
        <v>5720</v>
      </c>
      <c r="N114" s="511" t="s">
        <v>1247</v>
      </c>
      <c r="O114" s="511" t="s">
        <v>864</v>
      </c>
      <c r="P114" s="512" t="s">
        <v>701</v>
      </c>
      <c r="T114" s="348">
        <v>5404</v>
      </c>
      <c r="U114" s="348" t="s">
        <v>661</v>
      </c>
      <c r="V114" s="348" t="s">
        <v>1236</v>
      </c>
    </row>
    <row r="115" spans="1:22" ht="12.95" customHeight="1" x14ac:dyDescent="0.2">
      <c r="A115" s="274">
        <v>5123</v>
      </c>
      <c r="B115" s="241" t="str">
        <f t="shared" si="12"/>
        <v>Rt</v>
      </c>
      <c r="C115" s="243" t="str">
        <f t="shared" si="13"/>
        <v>Shaw, Tovar</v>
      </c>
      <c r="D115" s="275" t="s">
        <v>1725</v>
      </c>
      <c r="E115" s="214" t="str">
        <f t="shared" si="14"/>
        <v>Rt</v>
      </c>
      <c r="F115" s="242">
        <f t="shared" si="15"/>
        <v>5123</v>
      </c>
      <c r="G115" s="264">
        <v>300</v>
      </c>
      <c r="H115" s="241" t="str">
        <f t="shared" si="6"/>
        <v xml:space="preserve">Rock the Nations 2004 </v>
      </c>
      <c r="I115" s="241" t="s">
        <v>846</v>
      </c>
      <c r="L115" s="351" t="str">
        <f t="shared" si="16"/>
        <v>FORD</v>
      </c>
      <c r="M115" s="512">
        <v>5544</v>
      </c>
      <c r="N115" s="511" t="s">
        <v>1249</v>
      </c>
      <c r="O115" s="511" t="s">
        <v>715</v>
      </c>
      <c r="P115" s="512" t="s">
        <v>701</v>
      </c>
      <c r="T115" s="348">
        <v>5320</v>
      </c>
      <c r="U115" s="348" t="s">
        <v>1237</v>
      </c>
      <c r="V115" s="348" t="s">
        <v>1238</v>
      </c>
    </row>
    <row r="116" spans="1:22" ht="12.95" customHeight="1" x14ac:dyDescent="0.2">
      <c r="A116" s="274">
        <v>5124</v>
      </c>
      <c r="B116" s="241" t="str">
        <f t="shared" si="12"/>
        <v>NS</v>
      </c>
      <c r="C116" s="243" t="str">
        <f t="shared" si="13"/>
        <v>Althouse</v>
      </c>
      <c r="D116" s="275" t="s">
        <v>949</v>
      </c>
      <c r="E116" s="214" t="str">
        <f t="shared" si="14"/>
        <v>NS</v>
      </c>
      <c r="F116" s="242">
        <f t="shared" si="15"/>
        <v>5124</v>
      </c>
      <c r="G116" s="264">
        <v>500</v>
      </c>
      <c r="H116" s="241" t="str">
        <f t="shared" si="6"/>
        <v xml:space="preserve">NYC Student Internship </v>
      </c>
      <c r="I116" s="241" t="s">
        <v>847</v>
      </c>
      <c r="L116" s="351" t="str">
        <f t="shared" si="16"/>
        <v>FOTI</v>
      </c>
      <c r="M116" s="512">
        <v>5231</v>
      </c>
      <c r="N116" s="511" t="s">
        <v>1250</v>
      </c>
      <c r="O116" s="511" t="s">
        <v>660</v>
      </c>
      <c r="P116" s="512" t="s">
        <v>701</v>
      </c>
      <c r="T116" s="348">
        <v>5175</v>
      </c>
      <c r="U116" s="348" t="s">
        <v>601</v>
      </c>
      <c r="V116" s="348" t="s">
        <v>1239</v>
      </c>
    </row>
    <row r="117" spans="1:22" ht="12.95" customHeight="1" x14ac:dyDescent="0.2">
      <c r="A117" s="274">
        <v>5125</v>
      </c>
      <c r="B117" s="241" t="str">
        <f t="shared" si="12"/>
        <v>2T</v>
      </c>
      <c r="C117" s="243" t="str">
        <f t="shared" si="13"/>
        <v>Shaw, Tovar</v>
      </c>
      <c r="D117" s="275" t="s">
        <v>1726</v>
      </c>
      <c r="E117" s="214" t="str">
        <f t="shared" si="14"/>
        <v>2T</v>
      </c>
      <c r="F117" s="242">
        <f t="shared" si="15"/>
        <v>5125</v>
      </c>
      <c r="G117" s="264">
        <v>300</v>
      </c>
      <c r="H117" s="241" t="e">
        <f t="shared" si="6"/>
        <v>#VALUE!</v>
      </c>
      <c r="I117" s="241" t="s">
        <v>846</v>
      </c>
      <c r="L117" s="351" t="str">
        <f t="shared" si="16"/>
        <v>AND LINDA FRAMBES</v>
      </c>
      <c r="M117" s="510">
        <v>5527</v>
      </c>
      <c r="N117" s="511" t="s">
        <v>1251</v>
      </c>
      <c r="O117" s="511" t="s">
        <v>1252</v>
      </c>
      <c r="P117" s="512" t="s">
        <v>701</v>
      </c>
      <c r="T117" s="348">
        <v>5580</v>
      </c>
      <c r="U117" s="348" t="s">
        <v>1240</v>
      </c>
      <c r="V117" s="348" t="s">
        <v>779</v>
      </c>
    </row>
    <row r="118" spans="1:22" ht="12.95" customHeight="1" x14ac:dyDescent="0.2">
      <c r="A118" s="274">
        <v>5127</v>
      </c>
      <c r="B118" s="241" t="str">
        <f t="shared" si="12"/>
        <v>PD</v>
      </c>
      <c r="C118" s="243" t="str">
        <f t="shared" si="13"/>
        <v/>
      </c>
      <c r="D118" s="275" t="s">
        <v>249</v>
      </c>
      <c r="E118" s="214" t="str">
        <f t="shared" si="14"/>
        <v>PD</v>
      </c>
      <c r="F118" s="242">
        <f t="shared" si="15"/>
        <v>5127</v>
      </c>
      <c r="G118" s="264">
        <v>500</v>
      </c>
      <c r="H118" s="241" t="str">
        <f t="shared" si="6"/>
        <v xml:space="preserve">Parkins, Daniel </v>
      </c>
      <c r="I118" s="241" t="s">
        <v>849</v>
      </c>
      <c r="L118" s="351" t="str">
        <f t="shared" si="16"/>
        <v>&amp; SUE FREESEN</v>
      </c>
      <c r="M118" s="512"/>
      <c r="N118" s="511" t="s">
        <v>1797</v>
      </c>
      <c r="O118" s="511" t="s">
        <v>1798</v>
      </c>
      <c r="P118" s="512" t="s">
        <v>701</v>
      </c>
      <c r="T118" s="348">
        <v>3100</v>
      </c>
      <c r="U118" s="348" t="s">
        <v>1241</v>
      </c>
      <c r="V118" s="348" t="s">
        <v>1242</v>
      </c>
    </row>
    <row r="119" spans="1:22" ht="12.95" customHeight="1" x14ac:dyDescent="0.2">
      <c r="A119" s="274">
        <v>5129</v>
      </c>
      <c r="B119" s="241" t="str">
        <f t="shared" si="12"/>
        <v>CM</v>
      </c>
      <c r="C119" s="243" t="str">
        <f t="shared" si="13"/>
        <v>Shaw, Tovar</v>
      </c>
      <c r="D119" s="275" t="s">
        <v>1727</v>
      </c>
      <c r="E119" s="214" t="str">
        <f t="shared" si="14"/>
        <v>CM</v>
      </c>
      <c r="F119" s="242">
        <f t="shared" si="15"/>
        <v>5129</v>
      </c>
      <c r="G119" s="264">
        <v>300</v>
      </c>
      <c r="H119" s="241" t="str">
        <f t="shared" si="6"/>
        <v xml:space="preserve">China Ministries </v>
      </c>
      <c r="I119" s="241" t="s">
        <v>846</v>
      </c>
      <c r="L119" s="351" t="str">
        <f t="shared" si="16"/>
        <v>FRIESEN</v>
      </c>
      <c r="M119" s="512">
        <v>5163</v>
      </c>
      <c r="N119" s="511" t="s">
        <v>1253</v>
      </c>
      <c r="O119" s="511" t="s">
        <v>596</v>
      </c>
      <c r="P119" s="512" t="s">
        <v>701</v>
      </c>
      <c r="T119" s="348">
        <v>5690</v>
      </c>
      <c r="U119" s="348" t="s">
        <v>1243</v>
      </c>
      <c r="V119" s="348" t="s">
        <v>1244</v>
      </c>
    </row>
    <row r="120" spans="1:22" ht="12.95" customHeight="1" x14ac:dyDescent="0.2">
      <c r="A120" s="274">
        <v>5130</v>
      </c>
      <c r="B120" s="241" t="str">
        <f t="shared" si="12"/>
        <v>ND</v>
      </c>
      <c r="C120" s="243" t="str">
        <f t="shared" si="13"/>
        <v>Shaw, Tovar</v>
      </c>
      <c r="D120" s="275" t="s">
        <v>1728</v>
      </c>
      <c r="E120" s="214" t="str">
        <f t="shared" si="14"/>
        <v>ND</v>
      </c>
      <c r="F120" s="242">
        <f t="shared" si="15"/>
        <v>5130</v>
      </c>
      <c r="G120" s="264">
        <v>300</v>
      </c>
      <c r="H120" s="241" t="str">
        <f t="shared" si="6"/>
        <v xml:space="preserve">Nat Dir Fld Team Min </v>
      </c>
      <c r="I120" s="241" t="s">
        <v>846</v>
      </c>
      <c r="L120" s="351" t="str">
        <f t="shared" si="16"/>
        <v>FROST</v>
      </c>
      <c r="M120" s="512">
        <v>5307</v>
      </c>
      <c r="N120" s="511" t="s">
        <v>1254</v>
      </c>
      <c r="O120" s="511" t="s">
        <v>865</v>
      </c>
      <c r="P120" s="512" t="s">
        <v>701</v>
      </c>
      <c r="T120" s="348">
        <v>5563</v>
      </c>
      <c r="U120" s="348" t="s">
        <v>1245</v>
      </c>
      <c r="V120" s="348" t="s">
        <v>1246</v>
      </c>
    </row>
    <row r="121" spans="1:22" ht="12.95" customHeight="1" x14ac:dyDescent="0.2">
      <c r="A121" s="274">
        <v>5132</v>
      </c>
      <c r="B121" s="241" t="str">
        <f t="shared" si="12"/>
        <v>EI</v>
      </c>
      <c r="C121" s="243" t="str">
        <f t="shared" si="13"/>
        <v>Decker</v>
      </c>
      <c r="D121" s="275" t="s">
        <v>1729</v>
      </c>
      <c r="E121" s="214" t="str">
        <f t="shared" si="14"/>
        <v>EI</v>
      </c>
      <c r="F121" s="242">
        <f t="shared" si="15"/>
        <v>5132</v>
      </c>
      <c r="G121" s="264">
        <v>300</v>
      </c>
      <c r="H121" s="241" t="str">
        <f t="shared" si="6"/>
        <v xml:space="preserve">Equip Initiatives </v>
      </c>
      <c r="I121" s="241" t="s">
        <v>846</v>
      </c>
      <c r="L121" s="351" t="str">
        <f t="shared" si="16"/>
        <v>and Carolynn Frost</v>
      </c>
      <c r="M121" s="512">
        <v>5216</v>
      </c>
      <c r="N121" s="511" t="s">
        <v>1602</v>
      </c>
      <c r="O121" s="511" t="s">
        <v>1799</v>
      </c>
      <c r="P121" s="512" t="s">
        <v>701</v>
      </c>
      <c r="T121" s="348">
        <v>5720</v>
      </c>
      <c r="U121" s="348" t="s">
        <v>1247</v>
      </c>
      <c r="V121" s="348" t="s">
        <v>1248</v>
      </c>
    </row>
    <row r="122" spans="1:22" ht="12.95" customHeight="1" x14ac:dyDescent="0.2">
      <c r="A122" s="274">
        <v>5134</v>
      </c>
      <c r="B122" s="241" t="str">
        <f t="shared" si="12"/>
        <v>O(</v>
      </c>
      <c r="C122" s="243" t="str">
        <f t="shared" si="13"/>
        <v>Decker</v>
      </c>
      <c r="D122" s="275" t="s">
        <v>1730</v>
      </c>
      <c r="E122" s="214" t="str">
        <f t="shared" si="14"/>
        <v>O(</v>
      </c>
      <c r="F122" s="242">
        <f t="shared" si="15"/>
        <v>5134</v>
      </c>
      <c r="G122" s="264">
        <v>300</v>
      </c>
      <c r="H122" s="241" t="str">
        <f t="shared" si="6"/>
        <v xml:space="preserve">Orientation/Training </v>
      </c>
      <c r="I122" s="241" t="s">
        <v>846</v>
      </c>
      <c r="L122" s="351" t="str">
        <f t="shared" si="16"/>
        <v>and Brady Garrison</v>
      </c>
      <c r="M122" s="512">
        <v>5807</v>
      </c>
      <c r="N122" s="511" t="s">
        <v>1800</v>
      </c>
      <c r="O122" s="511" t="s">
        <v>1801</v>
      </c>
      <c r="P122" s="512" t="s">
        <v>701</v>
      </c>
      <c r="T122" s="348">
        <v>5544</v>
      </c>
      <c r="U122" s="348" t="s">
        <v>1249</v>
      </c>
      <c r="V122" s="348" t="s">
        <v>715</v>
      </c>
    </row>
    <row r="123" spans="1:22" ht="12.95" customHeight="1" x14ac:dyDescent="0.2">
      <c r="A123" s="274">
        <v>5136</v>
      </c>
      <c r="B123" s="241" t="str">
        <f t="shared" si="12"/>
        <v>PA</v>
      </c>
      <c r="C123" s="243" t="str">
        <f t="shared" si="13"/>
        <v/>
      </c>
      <c r="D123" s="275" t="s">
        <v>454</v>
      </c>
      <c r="E123" s="214" t="str">
        <f t="shared" si="14"/>
        <v>PA</v>
      </c>
      <c r="F123" s="242">
        <f t="shared" si="15"/>
        <v>5136</v>
      </c>
      <c r="G123" s="264">
        <v>500</v>
      </c>
      <c r="H123" s="241" t="str">
        <f t="shared" si="6"/>
        <v xml:space="preserve">Pearce, Andy </v>
      </c>
      <c r="I123" s="241" t="s">
        <v>849</v>
      </c>
      <c r="L123" s="351" t="str">
        <f t="shared" si="16"/>
        <v>&amp; VICKI GERMANN</v>
      </c>
      <c r="M123" s="512">
        <v>5695</v>
      </c>
      <c r="N123" s="511" t="s">
        <v>1255</v>
      </c>
      <c r="O123" s="511" t="s">
        <v>1802</v>
      </c>
      <c r="P123" s="512" t="s">
        <v>701</v>
      </c>
      <c r="T123" s="348">
        <v>5231</v>
      </c>
      <c r="U123" s="348" t="s">
        <v>1250</v>
      </c>
      <c r="V123" s="348" t="s">
        <v>660</v>
      </c>
    </row>
    <row r="124" spans="1:22" ht="12.95" customHeight="1" x14ac:dyDescent="0.2">
      <c r="A124" s="274">
        <v>5137</v>
      </c>
      <c r="B124" s="241" t="str">
        <f t="shared" si="12"/>
        <v>PS</v>
      </c>
      <c r="C124" s="243" t="str">
        <f t="shared" si="13"/>
        <v/>
      </c>
      <c r="D124" s="275" t="s">
        <v>453</v>
      </c>
      <c r="E124" s="214" t="str">
        <f t="shared" si="14"/>
        <v>PS</v>
      </c>
      <c r="F124" s="242">
        <f t="shared" si="15"/>
        <v>5137</v>
      </c>
      <c r="G124" s="264">
        <v>500</v>
      </c>
      <c r="H124" s="241" t="str">
        <f t="shared" si="6"/>
        <v xml:space="preserve">Pearce Special </v>
      </c>
      <c r="I124" s="241" t="s">
        <v>848</v>
      </c>
      <c r="L124" s="351" t="str">
        <f t="shared" si="16"/>
        <v>AND SABINA GHIMIRE</v>
      </c>
      <c r="M124" s="512">
        <v>5232</v>
      </c>
      <c r="N124" s="511" t="s">
        <v>1257</v>
      </c>
      <c r="O124" s="511" t="s">
        <v>1258</v>
      </c>
      <c r="P124" s="512" t="s">
        <v>701</v>
      </c>
      <c r="T124" s="347">
        <v>5527</v>
      </c>
      <c r="U124" s="347" t="s">
        <v>1251</v>
      </c>
      <c r="V124" s="348" t="s">
        <v>1252</v>
      </c>
    </row>
    <row r="125" spans="1:22" ht="12.95" customHeight="1" x14ac:dyDescent="0.2">
      <c r="A125" s="274">
        <v>5138</v>
      </c>
      <c r="B125" s="241" t="str">
        <f t="shared" si="12"/>
        <v>CS</v>
      </c>
      <c r="C125" s="243" t="str">
        <f t="shared" si="13"/>
        <v/>
      </c>
      <c r="D125" s="275" t="s">
        <v>206</v>
      </c>
      <c r="E125" s="214" t="str">
        <f t="shared" si="14"/>
        <v>CS</v>
      </c>
      <c r="F125" s="242">
        <f t="shared" si="15"/>
        <v>5138</v>
      </c>
      <c r="G125" s="274">
        <v>500</v>
      </c>
      <c r="H125" s="241" t="str">
        <f t="shared" si="6"/>
        <v xml:space="preserve">Congdon Special </v>
      </c>
      <c r="I125" s="241" t="s">
        <v>848</v>
      </c>
      <c r="L125" s="351" t="str">
        <f t="shared" si="16"/>
        <v>Gilpin</v>
      </c>
      <c r="M125" s="512">
        <v>5379</v>
      </c>
      <c r="N125" s="511" t="s">
        <v>1803</v>
      </c>
      <c r="O125" s="511" t="s">
        <v>1804</v>
      </c>
      <c r="P125" s="512" t="s">
        <v>701</v>
      </c>
      <c r="T125" s="348">
        <v>5163</v>
      </c>
      <c r="U125" s="348" t="s">
        <v>1253</v>
      </c>
      <c r="V125" s="348" t="s">
        <v>596</v>
      </c>
    </row>
    <row r="126" spans="1:22" ht="12.95" customHeight="1" x14ac:dyDescent="0.2">
      <c r="A126" s="274">
        <v>5139</v>
      </c>
      <c r="B126" s="241" t="str">
        <f t="shared" si="12"/>
        <v>CG</v>
      </c>
      <c r="C126" s="243" t="str">
        <f t="shared" si="13"/>
        <v/>
      </c>
      <c r="D126" s="275" t="s">
        <v>335</v>
      </c>
      <c r="E126" s="214" t="str">
        <f t="shared" si="14"/>
        <v>CG</v>
      </c>
      <c r="F126" s="242">
        <f t="shared" si="15"/>
        <v>5139</v>
      </c>
      <c r="G126" s="274">
        <v>500</v>
      </c>
      <c r="H126" s="241" t="str">
        <f t="shared" si="6"/>
        <v xml:space="preserve">Congdon, Gene </v>
      </c>
      <c r="I126" s="241" t="s">
        <v>849</v>
      </c>
      <c r="L126" s="351" t="str">
        <f t="shared" si="16"/>
        <v>GODDARD</v>
      </c>
      <c r="M126" s="512">
        <v>5148</v>
      </c>
      <c r="N126" s="511" t="s">
        <v>1805</v>
      </c>
      <c r="O126" s="511" t="s">
        <v>574</v>
      </c>
      <c r="P126" s="512" t="s">
        <v>701</v>
      </c>
      <c r="T126" s="348">
        <v>5307</v>
      </c>
      <c r="U126" s="348" t="s">
        <v>1254</v>
      </c>
      <c r="V126" s="348" t="s">
        <v>865</v>
      </c>
    </row>
    <row r="127" spans="1:22" ht="12.95" customHeight="1" x14ac:dyDescent="0.2">
      <c r="A127" s="274">
        <v>5141</v>
      </c>
      <c r="B127" s="241" t="str">
        <f t="shared" si="12"/>
        <v>AJ</v>
      </c>
      <c r="C127" s="243" t="str">
        <f t="shared" si="13"/>
        <v/>
      </c>
      <c r="D127" s="275" t="s">
        <v>304</v>
      </c>
      <c r="E127" s="214" t="str">
        <f t="shared" si="14"/>
        <v>AJ</v>
      </c>
      <c r="F127" s="242">
        <f t="shared" si="15"/>
        <v>5141</v>
      </c>
      <c r="G127" s="274">
        <v>500</v>
      </c>
      <c r="H127" s="241" t="str">
        <f t="shared" si="6"/>
        <v xml:space="preserve">Alumbaugh, Jon &amp; Ruth </v>
      </c>
      <c r="I127" s="241" t="s">
        <v>849</v>
      </c>
      <c r="L127" s="351" t="str">
        <f t="shared" si="16"/>
        <v>&amp; PAUL GODWIN</v>
      </c>
      <c r="M127" s="512">
        <v>5383</v>
      </c>
      <c r="N127" s="511" t="s">
        <v>556</v>
      </c>
      <c r="O127" s="511" t="s">
        <v>1806</v>
      </c>
      <c r="P127" s="512" t="s">
        <v>701</v>
      </c>
      <c r="T127" s="348">
        <v>5695</v>
      </c>
      <c r="U127" s="348" t="s">
        <v>1255</v>
      </c>
      <c r="V127" s="348" t="s">
        <v>1256</v>
      </c>
    </row>
    <row r="128" spans="1:22" ht="12.95" customHeight="1" x14ac:dyDescent="0.2">
      <c r="A128" s="274">
        <v>5142</v>
      </c>
      <c r="B128" s="241" t="str">
        <f t="shared" si="12"/>
        <v>KM</v>
      </c>
      <c r="C128" s="243" t="str">
        <f t="shared" si="13"/>
        <v/>
      </c>
      <c r="D128" s="275" t="s">
        <v>399</v>
      </c>
      <c r="E128" s="214" t="str">
        <f t="shared" si="14"/>
        <v>KM</v>
      </c>
      <c r="F128" s="242">
        <f t="shared" si="15"/>
        <v>5142</v>
      </c>
      <c r="G128" s="274">
        <v>500</v>
      </c>
      <c r="H128" s="241" t="str">
        <f t="shared" si="6"/>
        <v xml:space="preserve">Kaneshiro, Melanie </v>
      </c>
      <c r="I128" s="241" t="s">
        <v>849</v>
      </c>
      <c r="L128" s="351" t="str">
        <f t="shared" si="16"/>
        <v>GOLD</v>
      </c>
      <c r="M128" s="512">
        <v>5512</v>
      </c>
      <c r="N128" s="511" t="s">
        <v>1260</v>
      </c>
      <c r="O128" s="511" t="s">
        <v>658</v>
      </c>
      <c r="P128" s="512" t="s">
        <v>701</v>
      </c>
      <c r="T128" s="348">
        <v>5232</v>
      </c>
      <c r="U128" s="348" t="s">
        <v>1257</v>
      </c>
      <c r="V128" s="348" t="s">
        <v>1258</v>
      </c>
    </row>
    <row r="129" spans="1:22" ht="12.95" customHeight="1" x14ac:dyDescent="0.2">
      <c r="A129" s="274">
        <v>5143</v>
      </c>
      <c r="B129" s="241" t="str">
        <f t="shared" si="12"/>
        <v>JS</v>
      </c>
      <c r="C129" s="243" t="str">
        <f t="shared" si="13"/>
        <v/>
      </c>
      <c r="D129" s="275" t="s">
        <v>397</v>
      </c>
      <c r="E129" s="214" t="str">
        <f t="shared" si="14"/>
        <v>JS</v>
      </c>
      <c r="F129" s="242">
        <f t="shared" si="15"/>
        <v>5143</v>
      </c>
      <c r="G129" s="274">
        <v>500</v>
      </c>
      <c r="H129" s="241" t="str">
        <f t="shared" si="6"/>
        <v xml:space="preserve">Jackson, Sandra &amp; Bob </v>
      </c>
      <c r="I129" s="241" t="s">
        <v>849</v>
      </c>
      <c r="L129" s="351" t="str">
        <f t="shared" si="16"/>
        <v>&amp; SHERYL GOLL</v>
      </c>
      <c r="M129" s="512">
        <v>5505</v>
      </c>
      <c r="N129" s="511" t="s">
        <v>1261</v>
      </c>
      <c r="O129" s="511" t="s">
        <v>1262</v>
      </c>
      <c r="P129" s="512" t="s">
        <v>701</v>
      </c>
      <c r="T129" s="348">
        <v>5148</v>
      </c>
      <c r="U129" s="348" t="s">
        <v>573</v>
      </c>
      <c r="V129" s="348" t="s">
        <v>574</v>
      </c>
    </row>
    <row r="130" spans="1:22" ht="12.95" customHeight="1" x14ac:dyDescent="0.2">
      <c r="A130" s="274">
        <v>5144</v>
      </c>
      <c r="B130" s="241" t="str">
        <f t="shared" si="12"/>
        <v>DK</v>
      </c>
      <c r="C130" s="243" t="str">
        <f t="shared" si="13"/>
        <v/>
      </c>
      <c r="D130" s="275" t="s">
        <v>1095</v>
      </c>
      <c r="E130" s="214" t="str">
        <f t="shared" si="14"/>
        <v>DK</v>
      </c>
      <c r="F130" s="242">
        <f t="shared" si="15"/>
        <v>5144</v>
      </c>
      <c r="G130" s="274">
        <v>500</v>
      </c>
      <c r="H130" s="241" t="str">
        <f t="shared" si="6"/>
        <v xml:space="preserve">Daniel, Kimberly </v>
      </c>
      <c r="I130" s="241" t="s">
        <v>849</v>
      </c>
      <c r="L130" s="351" t="str">
        <f t="shared" si="16"/>
        <v>OR SHERIDA GRAY</v>
      </c>
      <c r="M130" s="512">
        <v>5214</v>
      </c>
      <c r="N130" s="511" t="s">
        <v>1263</v>
      </c>
      <c r="O130" s="511" t="s">
        <v>1264</v>
      </c>
      <c r="P130" s="512" t="s">
        <v>701</v>
      </c>
      <c r="T130" s="348">
        <v>5383</v>
      </c>
      <c r="U130" s="348" t="s">
        <v>556</v>
      </c>
      <c r="V130" s="348" t="s">
        <v>1259</v>
      </c>
    </row>
    <row r="131" spans="1:22" ht="12.95" customHeight="1" x14ac:dyDescent="0.2">
      <c r="A131" s="274">
        <v>5145</v>
      </c>
      <c r="B131" s="241" t="str">
        <f t="shared" si="12"/>
        <v>AJ</v>
      </c>
      <c r="C131" s="243" t="str">
        <f t="shared" si="13"/>
        <v/>
      </c>
      <c r="D131" s="275" t="s">
        <v>1096</v>
      </c>
      <c r="E131" s="214" t="str">
        <f t="shared" si="14"/>
        <v>AJ</v>
      </c>
      <c r="F131" s="242">
        <f t="shared" si="15"/>
        <v>5145</v>
      </c>
      <c r="G131" s="274">
        <v>500</v>
      </c>
      <c r="H131" s="241" t="str">
        <f t="shared" si="6"/>
        <v xml:space="preserve">Ainsworth, Jacob </v>
      </c>
      <c r="I131" s="241" t="s">
        <v>849</v>
      </c>
      <c r="L131" s="351" t="str">
        <f t="shared" si="16"/>
        <v>&amp; COURTNEY GREEN</v>
      </c>
      <c r="M131" s="512">
        <v>5542</v>
      </c>
      <c r="N131" s="511" t="s">
        <v>1265</v>
      </c>
      <c r="O131" s="511" t="s">
        <v>1266</v>
      </c>
      <c r="P131" s="512" t="s">
        <v>701</v>
      </c>
      <c r="T131" s="348">
        <v>5512</v>
      </c>
      <c r="U131" s="348" t="s">
        <v>1260</v>
      </c>
      <c r="V131" s="348" t="s">
        <v>658</v>
      </c>
    </row>
    <row r="132" spans="1:22" ht="12.95" customHeight="1" x14ac:dyDescent="0.2">
      <c r="A132" s="274">
        <v>5146</v>
      </c>
      <c r="B132" s="241" t="str">
        <f t="shared" si="12"/>
        <v>MS</v>
      </c>
      <c r="C132" s="243" t="str">
        <f t="shared" si="13"/>
        <v/>
      </c>
      <c r="D132" s="275" t="s">
        <v>1097</v>
      </c>
      <c r="E132" s="214" t="str">
        <f t="shared" si="14"/>
        <v>MS</v>
      </c>
      <c r="F132" s="242">
        <f t="shared" si="15"/>
        <v>5146</v>
      </c>
      <c r="G132" s="274">
        <v>500</v>
      </c>
      <c r="H132" s="241" t="str">
        <f t="shared" si="6"/>
        <v xml:space="preserve">Mathew, Subhash </v>
      </c>
      <c r="I132" s="241" t="s">
        <v>849</v>
      </c>
      <c r="L132" s="351" t="str">
        <f t="shared" si="16"/>
        <v>E GROVE</v>
      </c>
      <c r="M132" s="512">
        <v>5562</v>
      </c>
      <c r="N132" s="511" t="s">
        <v>1267</v>
      </c>
      <c r="O132" s="511" t="s">
        <v>1268</v>
      </c>
      <c r="P132" s="512" t="s">
        <v>701</v>
      </c>
      <c r="T132" s="348">
        <v>5505</v>
      </c>
      <c r="U132" s="348" t="s">
        <v>1261</v>
      </c>
      <c r="V132" s="348" t="s">
        <v>1262</v>
      </c>
    </row>
    <row r="133" spans="1:22" ht="12.95" customHeight="1" x14ac:dyDescent="0.2">
      <c r="A133" s="274">
        <v>5147</v>
      </c>
      <c r="B133" s="241" t="str">
        <f t="shared" si="12"/>
        <v>DJ</v>
      </c>
      <c r="C133" s="243" t="str">
        <f t="shared" si="13"/>
        <v/>
      </c>
      <c r="D133" s="275" t="s">
        <v>355</v>
      </c>
      <c r="E133" s="214" t="str">
        <f t="shared" si="14"/>
        <v>DJ</v>
      </c>
      <c r="F133" s="242">
        <f t="shared" si="15"/>
        <v>5147</v>
      </c>
      <c r="G133" s="274">
        <v>500</v>
      </c>
      <c r="H133" s="241" t="str">
        <f t="shared" ref="H133:H167" si="17">LEFT(D133,SEARCH("(",D133,1)-1)</f>
        <v xml:space="preserve">Dugo, John &amp; Janet </v>
      </c>
      <c r="I133" s="241" t="s">
        <v>849</v>
      </c>
      <c r="L133" s="351" t="str">
        <f t="shared" si="16"/>
        <v>GUNDERSON</v>
      </c>
      <c r="M133" s="512">
        <v>5557</v>
      </c>
      <c r="N133" s="511" t="s">
        <v>1269</v>
      </c>
      <c r="O133" s="511" t="s">
        <v>780</v>
      </c>
      <c r="P133" s="512" t="s">
        <v>701</v>
      </c>
      <c r="T133" s="348" t="s">
        <v>1122</v>
      </c>
      <c r="U133" s="348" t="s">
        <v>538</v>
      </c>
      <c r="V133" s="348" t="s">
        <v>539</v>
      </c>
    </row>
    <row r="134" spans="1:22" ht="12.95" customHeight="1" x14ac:dyDescent="0.2">
      <c r="A134" s="274">
        <v>5148</v>
      </c>
      <c r="B134" s="241" t="str">
        <f t="shared" si="12"/>
        <v>GJ</v>
      </c>
      <c r="C134" s="243" t="str">
        <f t="shared" si="13"/>
        <v/>
      </c>
      <c r="D134" s="275" t="s">
        <v>372</v>
      </c>
      <c r="E134" s="214" t="str">
        <f t="shared" si="14"/>
        <v>GJ</v>
      </c>
      <c r="F134" s="242">
        <f t="shared" si="15"/>
        <v>5148</v>
      </c>
      <c r="G134" s="274">
        <v>500</v>
      </c>
      <c r="H134" s="241" t="str">
        <f t="shared" si="17"/>
        <v xml:space="preserve">Goddard, Janice </v>
      </c>
      <c r="I134" s="241" t="s">
        <v>849</v>
      </c>
      <c r="L134" s="351" t="str">
        <f t="shared" si="16"/>
        <v>GUZMAN</v>
      </c>
      <c r="M134" s="512">
        <v>5659</v>
      </c>
      <c r="N134" s="511" t="s">
        <v>1640</v>
      </c>
      <c r="O134" s="511" t="s">
        <v>1807</v>
      </c>
      <c r="P134" s="512" t="s">
        <v>701</v>
      </c>
      <c r="T134" s="348">
        <v>5214</v>
      </c>
      <c r="U134" s="348" t="s">
        <v>1263</v>
      </c>
      <c r="V134" s="348" t="s">
        <v>1264</v>
      </c>
    </row>
    <row r="135" spans="1:22" ht="12.95" customHeight="1" x14ac:dyDescent="0.2">
      <c r="A135" s="274">
        <v>5150</v>
      </c>
      <c r="B135" s="241" t="str">
        <f t="shared" si="12"/>
        <v>5A</v>
      </c>
      <c r="C135" s="243" t="str">
        <f t="shared" si="13"/>
        <v/>
      </c>
      <c r="D135" s="275" t="s">
        <v>297</v>
      </c>
      <c r="E135" s="214" t="str">
        <f t="shared" si="14"/>
        <v>5A</v>
      </c>
      <c r="F135" s="242">
        <f t="shared" si="15"/>
        <v>5150</v>
      </c>
      <c r="G135" s="274">
        <v>500</v>
      </c>
      <c r="H135" s="241" t="str">
        <f t="shared" si="17"/>
        <v xml:space="preserve">50th Anniversary Fundraising Init. </v>
      </c>
      <c r="I135" s="241" t="s">
        <v>846</v>
      </c>
      <c r="L135" s="351" t="str">
        <f t="shared" si="16"/>
        <v>GWEE</v>
      </c>
      <c r="M135" s="512"/>
      <c r="N135" s="511" t="s">
        <v>1270</v>
      </c>
      <c r="O135" s="511" t="s">
        <v>1271</v>
      </c>
      <c r="P135" s="512" t="s">
        <v>701</v>
      </c>
      <c r="T135" s="348">
        <v>5542</v>
      </c>
      <c r="U135" s="348" t="s">
        <v>1265</v>
      </c>
      <c r="V135" s="348" t="s">
        <v>1266</v>
      </c>
    </row>
    <row r="136" spans="1:22" ht="12.95" customHeight="1" x14ac:dyDescent="0.2">
      <c r="A136" s="274">
        <v>5152</v>
      </c>
      <c r="B136" s="241" t="str">
        <f t="shared" si="12"/>
        <v>S[</v>
      </c>
      <c r="C136" s="243" t="str">
        <f t="shared" si="13"/>
        <v/>
      </c>
      <c r="D136" s="275" t="s">
        <v>893</v>
      </c>
      <c r="E136" s="214" t="str">
        <f t="shared" si="14"/>
        <v>S[</v>
      </c>
      <c r="F136" s="242">
        <f t="shared" si="15"/>
        <v>5152</v>
      </c>
      <c r="G136" s="274">
        <v>500</v>
      </c>
      <c r="H136" s="241" t="str">
        <f t="shared" si="17"/>
        <v xml:space="preserve">Satoh [Ogata], Miwa </v>
      </c>
      <c r="I136" s="241" t="s">
        <v>849</v>
      </c>
      <c r="L136" s="351" t="str">
        <f t="shared" si="16"/>
        <v>HADDOCK DE JESUS</v>
      </c>
      <c r="M136" s="512">
        <v>5688</v>
      </c>
      <c r="N136" s="511" t="s">
        <v>1808</v>
      </c>
      <c r="O136" s="511" t="s">
        <v>1809</v>
      </c>
      <c r="P136" s="512" t="s">
        <v>701</v>
      </c>
      <c r="T136" s="348">
        <v>5562</v>
      </c>
      <c r="U136" s="348" t="s">
        <v>1267</v>
      </c>
      <c r="V136" s="348" t="s">
        <v>1268</v>
      </c>
    </row>
    <row r="137" spans="1:22" ht="12.95" customHeight="1" x14ac:dyDescent="0.2">
      <c r="A137" s="274">
        <v>5153</v>
      </c>
      <c r="B137" s="241" t="str">
        <f t="shared" si="12"/>
        <v>LM</v>
      </c>
      <c r="C137" s="243" t="str">
        <f t="shared" si="13"/>
        <v/>
      </c>
      <c r="D137" s="275" t="s">
        <v>418</v>
      </c>
      <c r="E137" s="214" t="str">
        <f t="shared" si="14"/>
        <v>LM</v>
      </c>
      <c r="F137" s="242">
        <f t="shared" si="15"/>
        <v>5153</v>
      </c>
      <c r="G137" s="274">
        <v>500</v>
      </c>
      <c r="H137" s="241" t="str">
        <f t="shared" si="17"/>
        <v xml:space="preserve">Lempenau, Michael </v>
      </c>
      <c r="I137" s="241" t="s">
        <v>849</v>
      </c>
      <c r="L137" s="351" t="str">
        <f t="shared" si="16"/>
        <v>AND BARBARA HADLEY</v>
      </c>
      <c r="M137" s="512">
        <v>5386</v>
      </c>
      <c r="N137" s="511" t="s">
        <v>525</v>
      </c>
      <c r="O137" s="511" t="s">
        <v>1273</v>
      </c>
      <c r="P137" s="512" t="s">
        <v>701</v>
      </c>
      <c r="T137" s="348">
        <v>5557</v>
      </c>
      <c r="U137" s="348" t="s">
        <v>1269</v>
      </c>
      <c r="V137" s="348" t="s">
        <v>780</v>
      </c>
    </row>
    <row r="138" spans="1:22" ht="12.95" customHeight="1" x14ac:dyDescent="0.2">
      <c r="A138" s="274">
        <v>5154</v>
      </c>
      <c r="B138" s="241" t="str">
        <f t="shared" si="12"/>
        <v>RB</v>
      </c>
      <c r="C138" s="243" t="str">
        <f t="shared" si="13"/>
        <v/>
      </c>
      <c r="D138" s="275" t="s">
        <v>468</v>
      </c>
      <c r="E138" s="214" t="str">
        <f t="shared" si="14"/>
        <v>RB</v>
      </c>
      <c r="F138" s="242">
        <f t="shared" si="15"/>
        <v>5154</v>
      </c>
      <c r="G138" s="274">
        <v>500</v>
      </c>
      <c r="H138" s="241" t="str">
        <f t="shared" si="17"/>
        <v xml:space="preserve">Roberts, Bill &amp; Bel </v>
      </c>
      <c r="I138" s="241" t="s">
        <v>849</v>
      </c>
      <c r="L138" s="351" t="str">
        <f t="shared" si="16"/>
        <v>HAISLIP</v>
      </c>
      <c r="M138" s="512">
        <v>5656</v>
      </c>
      <c r="N138" s="511" t="s">
        <v>1274</v>
      </c>
      <c r="O138" s="511" t="s">
        <v>1275</v>
      </c>
      <c r="P138" s="512" t="s">
        <v>701</v>
      </c>
      <c r="T138" s="348" t="s">
        <v>1122</v>
      </c>
      <c r="U138" s="348" t="s">
        <v>1270</v>
      </c>
      <c r="V138" s="348" t="s">
        <v>1271</v>
      </c>
    </row>
    <row r="139" spans="1:22" ht="12.95" customHeight="1" x14ac:dyDescent="0.2">
      <c r="A139" s="274">
        <v>5155</v>
      </c>
      <c r="B139" s="241" t="str">
        <f t="shared" si="12"/>
        <v>MK</v>
      </c>
      <c r="C139" s="243" t="str">
        <f t="shared" si="13"/>
        <v/>
      </c>
      <c r="D139" s="275" t="s">
        <v>238</v>
      </c>
      <c r="E139" s="214" t="str">
        <f t="shared" si="14"/>
        <v>MK</v>
      </c>
      <c r="F139" s="242">
        <f t="shared" si="15"/>
        <v>5155</v>
      </c>
      <c r="G139" s="274">
        <v>500</v>
      </c>
      <c r="H139" s="241" t="str">
        <f t="shared" si="17"/>
        <v xml:space="preserve">Marques, Karol </v>
      </c>
      <c r="I139" s="241" t="s">
        <v>849</v>
      </c>
      <c r="L139" s="351" t="str">
        <f t="shared" si="16"/>
        <v>HAKES</v>
      </c>
      <c r="M139" s="512">
        <v>5263</v>
      </c>
      <c r="N139" s="511" t="s">
        <v>1276</v>
      </c>
      <c r="O139" s="511" t="s">
        <v>564</v>
      </c>
      <c r="P139" s="512" t="s">
        <v>701</v>
      </c>
      <c r="T139" s="348">
        <v>5688</v>
      </c>
      <c r="U139" s="348" t="s">
        <v>989</v>
      </c>
      <c r="V139" s="348" t="s">
        <v>1272</v>
      </c>
    </row>
    <row r="140" spans="1:22" ht="12.95" customHeight="1" x14ac:dyDescent="0.2">
      <c r="A140" s="274">
        <v>5156</v>
      </c>
      <c r="B140" s="241" t="str">
        <f t="shared" si="12"/>
        <v>AJ</v>
      </c>
      <c r="C140" s="243" t="str">
        <f t="shared" si="13"/>
        <v/>
      </c>
      <c r="D140" s="275" t="s">
        <v>309</v>
      </c>
      <c r="E140" s="214" t="str">
        <f t="shared" si="14"/>
        <v>AJ</v>
      </c>
      <c r="F140" s="242">
        <f t="shared" si="15"/>
        <v>5156</v>
      </c>
      <c r="G140" s="274">
        <v>500</v>
      </c>
      <c r="H140" s="241" t="str">
        <f t="shared" si="17"/>
        <v xml:space="preserve">Arant, Julie </v>
      </c>
      <c r="I140" s="241" t="s">
        <v>849</v>
      </c>
      <c r="L140" s="351" t="str">
        <f t="shared" si="16"/>
        <v>HALFERTY</v>
      </c>
      <c r="M140" s="512">
        <v>5763</v>
      </c>
      <c r="N140" s="511" t="s">
        <v>1277</v>
      </c>
      <c r="O140" s="511" t="s">
        <v>1061</v>
      </c>
      <c r="P140" s="512" t="s">
        <v>701</v>
      </c>
      <c r="T140" s="348">
        <v>5386</v>
      </c>
      <c r="U140" s="348" t="s">
        <v>525</v>
      </c>
      <c r="V140" s="348" t="s">
        <v>1273</v>
      </c>
    </row>
    <row r="141" spans="1:22" ht="12.95" customHeight="1" x14ac:dyDescent="0.2">
      <c r="A141" s="274">
        <v>5157</v>
      </c>
      <c r="B141" s="241" t="str">
        <f t="shared" si="12"/>
        <v>CK</v>
      </c>
      <c r="C141" s="243" t="str">
        <f t="shared" si="13"/>
        <v/>
      </c>
      <c r="D141" s="275" t="s">
        <v>326</v>
      </c>
      <c r="E141" s="214" t="str">
        <f t="shared" si="14"/>
        <v>CK</v>
      </c>
      <c r="F141" s="242">
        <f t="shared" si="15"/>
        <v>5157</v>
      </c>
      <c r="G141" s="274">
        <v>500</v>
      </c>
      <c r="H141" s="241" t="str">
        <f t="shared" si="17"/>
        <v xml:space="preserve">Carlson, Kimberly </v>
      </c>
      <c r="I141" s="241" t="s">
        <v>849</v>
      </c>
      <c r="L141" s="351" t="str">
        <f t="shared" si="16"/>
        <v>HALLIGAN</v>
      </c>
      <c r="M141" s="512">
        <v>5594</v>
      </c>
      <c r="N141" s="511" t="s">
        <v>532</v>
      </c>
      <c r="O141" s="511" t="s">
        <v>1810</v>
      </c>
      <c r="P141" s="512" t="s">
        <v>701</v>
      </c>
      <c r="T141" s="348">
        <v>5656</v>
      </c>
      <c r="U141" s="348" t="s">
        <v>1274</v>
      </c>
      <c r="V141" s="348" t="s">
        <v>1275</v>
      </c>
    </row>
    <row r="142" spans="1:22" ht="12.95" customHeight="1" x14ac:dyDescent="0.2">
      <c r="A142" s="274">
        <v>5158</v>
      </c>
      <c r="B142" s="241" t="str">
        <f t="shared" si="12"/>
        <v>BJ</v>
      </c>
      <c r="C142" s="243" t="str">
        <f t="shared" si="13"/>
        <v/>
      </c>
      <c r="D142" s="275" t="s">
        <v>1068</v>
      </c>
      <c r="E142" s="214" t="str">
        <f t="shared" si="14"/>
        <v>BJ</v>
      </c>
      <c r="F142" s="242">
        <f t="shared" si="15"/>
        <v>5158</v>
      </c>
      <c r="G142" s="274">
        <v>500</v>
      </c>
      <c r="H142" s="241" t="str">
        <f t="shared" si="17"/>
        <v xml:space="preserve">Boitz, Joy Alynn [Curtis] </v>
      </c>
      <c r="I142" s="241" t="s">
        <v>849</v>
      </c>
      <c r="L142" s="351" t="str">
        <f t="shared" si="16"/>
        <v>HALVERSON</v>
      </c>
      <c r="M142" s="512">
        <v>5198</v>
      </c>
      <c r="N142" s="511" t="s">
        <v>549</v>
      </c>
      <c r="O142" s="511" t="s">
        <v>550</v>
      </c>
      <c r="P142" s="512" t="s">
        <v>701</v>
      </c>
      <c r="T142" s="348">
        <v>5263</v>
      </c>
      <c r="U142" s="348" t="s">
        <v>1276</v>
      </c>
      <c r="V142" s="348" t="s">
        <v>564</v>
      </c>
    </row>
    <row r="143" spans="1:22" ht="12.95" customHeight="1" x14ac:dyDescent="0.2">
      <c r="A143" s="274">
        <v>5160</v>
      </c>
      <c r="B143" s="241" t="str">
        <f t="shared" si="12"/>
        <v>LB</v>
      </c>
      <c r="C143" s="243" t="str">
        <f t="shared" si="13"/>
        <v/>
      </c>
      <c r="D143" s="275" t="s">
        <v>1098</v>
      </c>
      <c r="E143" s="214" t="str">
        <f t="shared" si="14"/>
        <v>LB</v>
      </c>
      <c r="F143" s="242">
        <f t="shared" si="15"/>
        <v>5160</v>
      </c>
      <c r="G143" s="274">
        <v>500</v>
      </c>
      <c r="H143" s="241" t="str">
        <f t="shared" si="17"/>
        <v xml:space="preserve">LaShelle, Brett </v>
      </c>
      <c r="I143" s="241" t="s">
        <v>849</v>
      </c>
      <c r="L143" s="351" t="str">
        <f t="shared" si="16"/>
        <v>HANSEN</v>
      </c>
      <c r="M143" s="512">
        <v>5552</v>
      </c>
      <c r="N143" s="511" t="s">
        <v>1279</v>
      </c>
      <c r="O143" s="511" t="s">
        <v>866</v>
      </c>
      <c r="P143" s="512" t="s">
        <v>701</v>
      </c>
      <c r="T143" s="348">
        <v>5763</v>
      </c>
      <c r="U143" s="348" t="s">
        <v>1277</v>
      </c>
      <c r="V143" s="348" t="s">
        <v>1061</v>
      </c>
    </row>
    <row r="144" spans="1:22" ht="12.95" customHeight="1" x14ac:dyDescent="0.2">
      <c r="A144" s="274">
        <v>5161</v>
      </c>
      <c r="B144" s="241" t="str">
        <f t="shared" si="12"/>
        <v>DS</v>
      </c>
      <c r="C144" s="243" t="str">
        <f t="shared" si="13"/>
        <v/>
      </c>
      <c r="D144" s="275" t="s">
        <v>356</v>
      </c>
      <c r="E144" s="214" t="str">
        <f t="shared" si="14"/>
        <v>DS</v>
      </c>
      <c r="F144" s="242">
        <f t="shared" si="15"/>
        <v>5161</v>
      </c>
      <c r="G144" s="274">
        <v>500</v>
      </c>
      <c r="H144" s="241" t="str">
        <f t="shared" si="17"/>
        <v xml:space="preserve">Dunne, Stephen &amp; Lia </v>
      </c>
      <c r="I144" s="241" t="s">
        <v>849</v>
      </c>
      <c r="L144" s="351" t="str">
        <f t="shared" si="16"/>
        <v>SHEILA</v>
      </c>
      <c r="M144" s="512">
        <v>5593</v>
      </c>
      <c r="N144" s="511" t="s">
        <v>565</v>
      </c>
      <c r="O144" s="511" t="s">
        <v>1281</v>
      </c>
      <c r="P144" s="512" t="s">
        <v>701</v>
      </c>
      <c r="T144" s="348">
        <v>5594</v>
      </c>
      <c r="U144" s="348" t="s">
        <v>532</v>
      </c>
      <c r="V144" s="348" t="s">
        <v>1278</v>
      </c>
    </row>
    <row r="145" spans="1:22" ht="12.95" customHeight="1" x14ac:dyDescent="0.2">
      <c r="A145" s="274">
        <v>5162</v>
      </c>
      <c r="B145" s="241" t="str">
        <f t="shared" si="12"/>
        <v>TW</v>
      </c>
      <c r="C145" s="243" t="str">
        <f t="shared" si="13"/>
        <v/>
      </c>
      <c r="D145" s="275" t="s">
        <v>894</v>
      </c>
      <c r="E145" s="214" t="str">
        <f t="shared" si="14"/>
        <v>TW</v>
      </c>
      <c r="F145" s="242">
        <f t="shared" si="15"/>
        <v>5162</v>
      </c>
      <c r="G145" s="274">
        <v>500</v>
      </c>
      <c r="H145" s="241" t="str">
        <f t="shared" si="17"/>
        <v xml:space="preserve">Thomas, William [Calen] </v>
      </c>
      <c r="I145" s="241" t="s">
        <v>849</v>
      </c>
      <c r="L145" s="351" t="str">
        <f t="shared" si="16"/>
        <v>HARMS</v>
      </c>
      <c r="M145" s="512">
        <v>5759</v>
      </c>
      <c r="N145" s="511" t="s">
        <v>1282</v>
      </c>
      <c r="O145" s="511" t="s">
        <v>1283</v>
      </c>
      <c r="P145" s="512" t="s">
        <v>701</v>
      </c>
      <c r="T145" s="348">
        <v>5198</v>
      </c>
      <c r="U145" s="348" t="s">
        <v>549</v>
      </c>
      <c r="V145" s="348" t="s">
        <v>550</v>
      </c>
    </row>
    <row r="146" spans="1:22" ht="12.95" customHeight="1" x14ac:dyDescent="0.2">
      <c r="A146" s="274">
        <v>5163</v>
      </c>
      <c r="B146" s="241" t="str">
        <f t="shared" ref="B146:B221" si="18">E146</f>
        <v>FJ</v>
      </c>
      <c r="C146" s="243" t="str">
        <f t="shared" ref="C146:C221" si="19">IFERROR(MID(D146,SEARCH("{",D146,1)+1,SEARCH("}",D146,1)-SEARCH("{",D146,1)-1),"")</f>
        <v/>
      </c>
      <c r="D146" s="275" t="s">
        <v>178</v>
      </c>
      <c r="E146" s="214" t="str">
        <f t="shared" ref="E146:E221" si="20">LEFT(D146,1)&amp;MID(D146,SEARCH(" ",D146,1)+1,1)</f>
        <v>FJ</v>
      </c>
      <c r="F146" s="242">
        <f t="shared" ref="F146:F191" si="21">A146</f>
        <v>5163</v>
      </c>
      <c r="G146" s="274">
        <v>500</v>
      </c>
      <c r="H146" s="241" t="str">
        <f t="shared" si="17"/>
        <v xml:space="preserve">Friesen, Julie </v>
      </c>
      <c r="I146" s="241" t="s">
        <v>849</v>
      </c>
      <c r="L146" s="351" t="str">
        <f t="shared" si="16"/>
        <v>HARMS</v>
      </c>
      <c r="M146" s="512"/>
      <c r="N146" s="511" t="s">
        <v>1811</v>
      </c>
      <c r="O146" s="511" t="s">
        <v>1812</v>
      </c>
      <c r="P146" s="512" t="s">
        <v>701</v>
      </c>
      <c r="T146" s="348" t="s">
        <v>1122</v>
      </c>
      <c r="U146" s="348" t="s">
        <v>1463</v>
      </c>
      <c r="V146" s="348" t="s">
        <v>1464</v>
      </c>
    </row>
    <row r="147" spans="1:22" ht="12.95" customHeight="1" x14ac:dyDescent="0.2">
      <c r="A147" s="274">
        <v>5164</v>
      </c>
      <c r="B147" s="241" t="str">
        <f t="shared" si="18"/>
        <v>TC</v>
      </c>
      <c r="C147" s="243" t="str">
        <f t="shared" si="19"/>
        <v>Shaw, Tovar</v>
      </c>
      <c r="D147" s="275" t="s">
        <v>1731</v>
      </c>
      <c r="E147" s="214" t="str">
        <f t="shared" si="20"/>
        <v>TC</v>
      </c>
      <c r="F147" s="242">
        <f t="shared" si="21"/>
        <v>5164</v>
      </c>
      <c r="G147" s="274">
        <v>300</v>
      </c>
      <c r="H147" s="241" t="str">
        <f t="shared" si="17"/>
        <v xml:space="preserve">Training Conf Acct </v>
      </c>
      <c r="I147" s="241" t="s">
        <v>846</v>
      </c>
      <c r="L147" s="351" t="str">
        <f t="shared" si="16"/>
        <v>HARPER</v>
      </c>
      <c r="M147" s="512">
        <v>5912</v>
      </c>
      <c r="N147" s="511" t="s">
        <v>607</v>
      </c>
      <c r="O147" s="511" t="s">
        <v>608</v>
      </c>
      <c r="P147" s="512" t="s">
        <v>701</v>
      </c>
      <c r="T147" s="348">
        <v>5552</v>
      </c>
      <c r="U147" s="348" t="s">
        <v>1279</v>
      </c>
      <c r="V147" s="348" t="s">
        <v>1280</v>
      </c>
    </row>
    <row r="148" spans="1:22" ht="12.95" customHeight="1" x14ac:dyDescent="0.2">
      <c r="A148" s="274">
        <v>5165</v>
      </c>
      <c r="B148" s="241" t="str">
        <f t="shared" si="18"/>
        <v>LT</v>
      </c>
      <c r="C148" s="243" t="str">
        <f t="shared" si="19"/>
        <v>Shaw, Tovar</v>
      </c>
      <c r="D148" s="275" t="s">
        <v>1732</v>
      </c>
      <c r="E148" s="214" t="str">
        <f t="shared" si="20"/>
        <v>LT</v>
      </c>
      <c r="F148" s="242">
        <f t="shared" si="21"/>
        <v>5165</v>
      </c>
      <c r="G148" s="264">
        <v>200</v>
      </c>
      <c r="H148" s="241" t="str">
        <f t="shared" si="17"/>
        <v xml:space="preserve">Leadership Training </v>
      </c>
      <c r="I148" s="241" t="s">
        <v>846</v>
      </c>
      <c r="L148" s="351" t="str">
        <f t="shared" si="16"/>
        <v>HAVEN</v>
      </c>
      <c r="M148" s="512">
        <v>3300</v>
      </c>
      <c r="N148" s="511" t="s">
        <v>1284</v>
      </c>
      <c r="O148" s="511" t="s">
        <v>1285</v>
      </c>
      <c r="P148" s="512" t="s">
        <v>701</v>
      </c>
      <c r="T148" s="348">
        <v>5593</v>
      </c>
      <c r="U148" s="348" t="s">
        <v>565</v>
      </c>
      <c r="V148" s="348" t="s">
        <v>1281</v>
      </c>
    </row>
    <row r="149" spans="1:22" ht="12.95" customHeight="1" x14ac:dyDescent="0.2">
      <c r="A149" s="274">
        <v>5166</v>
      </c>
      <c r="B149" s="241" t="str">
        <f t="shared" si="18"/>
        <v>NT</v>
      </c>
      <c r="C149" s="243" t="str">
        <f t="shared" si="19"/>
        <v>Decker</v>
      </c>
      <c r="D149" s="275" t="s">
        <v>1733</v>
      </c>
      <c r="E149" s="214" t="str">
        <f t="shared" si="20"/>
        <v>NT</v>
      </c>
      <c r="F149" s="242">
        <f t="shared" si="21"/>
        <v>5166</v>
      </c>
      <c r="G149" s="264">
        <v>200</v>
      </c>
      <c r="H149" s="241" t="str">
        <f t="shared" si="17"/>
        <v xml:space="preserve">Nat'l Trng Acct Decker </v>
      </c>
      <c r="I149" s="241" t="s">
        <v>846</v>
      </c>
      <c r="L149" s="351" t="str">
        <f t="shared" si="16"/>
        <v>HAWES</v>
      </c>
      <c r="M149" s="512">
        <v>5220</v>
      </c>
      <c r="N149" s="511" t="s">
        <v>1286</v>
      </c>
      <c r="O149" s="511" t="s">
        <v>867</v>
      </c>
      <c r="P149" s="512" t="s">
        <v>701</v>
      </c>
      <c r="T149" s="348">
        <v>5759</v>
      </c>
      <c r="U149" s="348" t="s">
        <v>1282</v>
      </c>
      <c r="V149" s="348" t="s">
        <v>1283</v>
      </c>
    </row>
    <row r="150" spans="1:22" ht="12.95" customHeight="1" x14ac:dyDescent="0.2">
      <c r="A150" s="274">
        <v>5167</v>
      </c>
      <c r="B150" s="241" t="str">
        <f t="shared" si="18"/>
        <v>ZA</v>
      </c>
      <c r="C150" s="243" t="str">
        <f t="shared" si="19"/>
        <v/>
      </c>
      <c r="D150" s="275" t="s">
        <v>278</v>
      </c>
      <c r="E150" s="214" t="str">
        <f t="shared" si="20"/>
        <v>ZA</v>
      </c>
      <c r="F150" s="242">
        <f t="shared" si="21"/>
        <v>5167</v>
      </c>
      <c r="G150" s="264">
        <v>500</v>
      </c>
      <c r="H150" s="241" t="str">
        <f t="shared" si="17"/>
        <v xml:space="preserve">Zhang, Abraham </v>
      </c>
      <c r="I150" s="241" t="s">
        <v>849</v>
      </c>
      <c r="L150" s="351" t="str">
        <f t="shared" si="16"/>
        <v>HAWKINS</v>
      </c>
      <c r="M150" s="512">
        <v>5575</v>
      </c>
      <c r="N150" s="511" t="s">
        <v>641</v>
      </c>
      <c r="O150" s="511" t="s">
        <v>642</v>
      </c>
      <c r="P150" s="512" t="s">
        <v>701</v>
      </c>
      <c r="T150" s="348">
        <v>5912</v>
      </c>
      <c r="U150" s="348" t="s">
        <v>607</v>
      </c>
      <c r="V150" s="348" t="s">
        <v>608</v>
      </c>
    </row>
    <row r="151" spans="1:22" ht="12.95" customHeight="1" x14ac:dyDescent="0.2">
      <c r="A151" s="274">
        <v>5168</v>
      </c>
      <c r="B151" s="241" t="str">
        <f t="shared" si="18"/>
        <v>LR</v>
      </c>
      <c r="C151" s="243" t="str">
        <f t="shared" si="19"/>
        <v/>
      </c>
      <c r="D151" s="275" t="s">
        <v>1077</v>
      </c>
      <c r="E151" s="214" t="str">
        <f t="shared" si="20"/>
        <v>LR</v>
      </c>
      <c r="F151" s="242">
        <f t="shared" si="21"/>
        <v>5168</v>
      </c>
      <c r="G151" s="264">
        <v>500</v>
      </c>
      <c r="H151" s="241" t="str">
        <f t="shared" si="17"/>
        <v xml:space="preserve">Larson, Ruth </v>
      </c>
      <c r="I151" s="241" t="s">
        <v>849</v>
      </c>
      <c r="L151" s="351" t="str">
        <f t="shared" si="16"/>
        <v>&amp; SUSAN HAYZLETT</v>
      </c>
      <c r="M151" s="512">
        <v>5184</v>
      </c>
      <c r="N151" s="511" t="s">
        <v>1577</v>
      </c>
      <c r="O151" s="511" t="s">
        <v>1813</v>
      </c>
      <c r="P151" s="512" t="s">
        <v>701</v>
      </c>
      <c r="T151" s="348">
        <v>3300</v>
      </c>
      <c r="U151" s="348" t="s">
        <v>1284</v>
      </c>
      <c r="V151" s="348" t="s">
        <v>1285</v>
      </c>
    </row>
    <row r="152" spans="1:22" ht="12.95" customHeight="1" x14ac:dyDescent="0.2">
      <c r="A152" s="274">
        <v>5170</v>
      </c>
      <c r="B152" s="241" t="str">
        <f t="shared" si="18"/>
        <v>SR</v>
      </c>
      <c r="C152" s="243" t="str">
        <f t="shared" si="19"/>
        <v/>
      </c>
      <c r="D152" s="275" t="s">
        <v>482</v>
      </c>
      <c r="E152" s="214" t="str">
        <f t="shared" si="20"/>
        <v>SR</v>
      </c>
      <c r="F152" s="242">
        <v>5170</v>
      </c>
      <c r="G152" s="264">
        <v>500</v>
      </c>
      <c r="H152" s="241" t="str">
        <f t="shared" si="17"/>
        <v xml:space="preserve">Spaulding, Ron &amp; Judy </v>
      </c>
      <c r="I152" s="241" t="s">
        <v>849</v>
      </c>
      <c r="L152" s="351" t="str">
        <f t="shared" si="16"/>
        <v>HELMEN</v>
      </c>
      <c r="M152" s="512">
        <v>5407</v>
      </c>
      <c r="N152" s="511" t="s">
        <v>1288</v>
      </c>
      <c r="O152" s="511" t="s">
        <v>584</v>
      </c>
      <c r="P152" s="512" t="s">
        <v>701</v>
      </c>
      <c r="T152" s="348">
        <v>5220</v>
      </c>
      <c r="U152" s="348" t="s">
        <v>1286</v>
      </c>
      <c r="V152" s="348" t="s">
        <v>1287</v>
      </c>
    </row>
    <row r="153" spans="1:22" ht="12.95" customHeight="1" x14ac:dyDescent="0.2">
      <c r="A153" s="274">
        <v>5171</v>
      </c>
      <c r="B153" s="241" t="str">
        <f t="shared" si="18"/>
        <v>SS</v>
      </c>
      <c r="C153" s="243" t="str">
        <f t="shared" si="19"/>
        <v/>
      </c>
      <c r="D153" s="275" t="s">
        <v>265</v>
      </c>
      <c r="E153" s="214" t="str">
        <f t="shared" si="20"/>
        <v>SS</v>
      </c>
      <c r="F153" s="242">
        <f t="shared" si="21"/>
        <v>5171</v>
      </c>
      <c r="G153" s="264">
        <v>500</v>
      </c>
      <c r="H153" s="241" t="str">
        <f t="shared" si="17"/>
        <v xml:space="preserve">Spaulding Special </v>
      </c>
      <c r="I153" s="241" t="s">
        <v>848</v>
      </c>
      <c r="L153" s="351" t="str">
        <f t="shared" si="16"/>
        <v>HERMAN</v>
      </c>
      <c r="M153" s="512">
        <v>5679</v>
      </c>
      <c r="N153" s="511" t="s">
        <v>1291</v>
      </c>
      <c r="O153" s="511" t="s">
        <v>1814</v>
      </c>
      <c r="P153" s="512" t="s">
        <v>701</v>
      </c>
      <c r="T153" s="348">
        <v>5575</v>
      </c>
      <c r="U153" s="348" t="s">
        <v>641</v>
      </c>
      <c r="V153" s="348" t="s">
        <v>642</v>
      </c>
    </row>
    <row r="154" spans="1:22" ht="12.95" customHeight="1" x14ac:dyDescent="0.2">
      <c r="A154" s="274">
        <v>5172</v>
      </c>
      <c r="B154" s="241" t="str">
        <f t="shared" si="18"/>
        <v>HR</v>
      </c>
      <c r="C154" s="243" t="str">
        <f t="shared" si="19"/>
        <v/>
      </c>
      <c r="D154" s="275" t="s">
        <v>388</v>
      </c>
      <c r="E154" s="214" t="str">
        <f t="shared" si="20"/>
        <v>HR</v>
      </c>
      <c r="F154" s="242">
        <f t="shared" si="21"/>
        <v>5172</v>
      </c>
      <c r="G154" s="264">
        <v>500</v>
      </c>
      <c r="H154" s="241" t="str">
        <f t="shared" si="17"/>
        <v xml:space="preserve">Heder, Robert </v>
      </c>
      <c r="I154" s="241" t="s">
        <v>849</v>
      </c>
      <c r="L154" s="351" t="str">
        <f t="shared" si="16"/>
        <v>HERRING</v>
      </c>
      <c r="M154" s="512">
        <v>5712</v>
      </c>
      <c r="N154" s="511" t="s">
        <v>1292</v>
      </c>
      <c r="O154" s="511" t="s">
        <v>1293</v>
      </c>
      <c r="P154" s="512" t="s">
        <v>701</v>
      </c>
      <c r="T154" s="348">
        <v>5184</v>
      </c>
      <c r="U154" s="348" t="s">
        <v>1577</v>
      </c>
      <c r="V154" s="348" t="s">
        <v>1578</v>
      </c>
    </row>
    <row r="155" spans="1:22" ht="12.95" customHeight="1" x14ac:dyDescent="0.2">
      <c r="A155" s="274">
        <v>5173</v>
      </c>
      <c r="B155" s="241" t="str">
        <f t="shared" si="18"/>
        <v>PN</v>
      </c>
      <c r="C155" s="243" t="str">
        <f t="shared" si="19"/>
        <v/>
      </c>
      <c r="D155" s="275" t="s">
        <v>1111</v>
      </c>
      <c r="E155" s="214" t="str">
        <f t="shared" si="20"/>
        <v>PN</v>
      </c>
      <c r="F155" s="242">
        <f t="shared" si="21"/>
        <v>5173</v>
      </c>
      <c r="G155" s="274">
        <v>500</v>
      </c>
      <c r="H155" s="241" t="str">
        <f t="shared" si="17"/>
        <v xml:space="preserve">Parlett, Nancy </v>
      </c>
      <c r="I155" s="241" t="s">
        <v>849</v>
      </c>
      <c r="L155" s="351" t="str">
        <f t="shared" si="16"/>
        <v>HERSHBERGER</v>
      </c>
      <c r="M155" s="512">
        <v>5378</v>
      </c>
      <c r="N155" s="511" t="s">
        <v>1294</v>
      </c>
      <c r="O155" s="511" t="s">
        <v>615</v>
      </c>
      <c r="P155" s="512" t="s">
        <v>701</v>
      </c>
      <c r="T155" s="348">
        <v>5407</v>
      </c>
      <c r="U155" s="348" t="s">
        <v>1288</v>
      </c>
      <c r="V155" s="348" t="s">
        <v>584</v>
      </c>
    </row>
    <row r="156" spans="1:22" ht="12.95" customHeight="1" x14ac:dyDescent="0.2">
      <c r="A156" s="274">
        <v>5174</v>
      </c>
      <c r="B156" s="241" t="str">
        <f t="shared" si="18"/>
        <v>FG</v>
      </c>
      <c r="C156" s="243" t="str">
        <f t="shared" si="19"/>
        <v/>
      </c>
      <c r="D156" s="275" t="s">
        <v>176</v>
      </c>
      <c r="E156" s="214" t="str">
        <f t="shared" si="20"/>
        <v>FG</v>
      </c>
      <c r="F156" s="242">
        <f t="shared" si="21"/>
        <v>5174</v>
      </c>
      <c r="G156" s="264">
        <v>500</v>
      </c>
      <c r="H156" s="241" t="str">
        <f t="shared" si="17"/>
        <v xml:space="preserve">Frahm, George </v>
      </c>
      <c r="I156" s="241" t="s">
        <v>849</v>
      </c>
      <c r="L156" s="351" t="str">
        <f t="shared" si="16"/>
        <v>HIRSCH</v>
      </c>
      <c r="M156" s="512"/>
      <c r="N156" s="511" t="s">
        <v>1295</v>
      </c>
      <c r="O156" s="511" t="s">
        <v>1296</v>
      </c>
      <c r="P156" s="512" t="s">
        <v>701</v>
      </c>
      <c r="T156" s="348">
        <v>5750</v>
      </c>
      <c r="U156" s="348" t="s">
        <v>1289</v>
      </c>
      <c r="V156" s="348" t="s">
        <v>1290</v>
      </c>
    </row>
    <row r="157" spans="1:22" ht="12.95" customHeight="1" x14ac:dyDescent="0.2">
      <c r="A157" s="274">
        <v>5175</v>
      </c>
      <c r="B157" s="241" t="str">
        <f t="shared" si="18"/>
        <v>FK</v>
      </c>
      <c r="C157" s="243" t="str">
        <f t="shared" si="19"/>
        <v/>
      </c>
      <c r="D157" s="275" t="s">
        <v>363</v>
      </c>
      <c r="E157" s="214" t="str">
        <f t="shared" si="20"/>
        <v>FK</v>
      </c>
      <c r="F157" s="242">
        <f t="shared" si="21"/>
        <v>5175</v>
      </c>
      <c r="G157" s="274">
        <v>500</v>
      </c>
      <c r="H157" s="241" t="str">
        <f t="shared" si="17"/>
        <v xml:space="preserve">Fannin, Kevin &amp; Heather </v>
      </c>
      <c r="I157" s="241" t="s">
        <v>849</v>
      </c>
      <c r="L157" s="351" t="str">
        <f t="shared" si="16"/>
        <v>&amp; ERIC HODGES</v>
      </c>
      <c r="M157" s="512">
        <v>5346</v>
      </c>
      <c r="N157" s="511" t="s">
        <v>1297</v>
      </c>
      <c r="O157" s="511" t="s">
        <v>1298</v>
      </c>
      <c r="P157" s="512" t="s">
        <v>701</v>
      </c>
      <c r="T157" s="348">
        <v>5679</v>
      </c>
      <c r="U157" s="348" t="s">
        <v>1291</v>
      </c>
      <c r="V157" s="348" t="s">
        <v>990</v>
      </c>
    </row>
    <row r="158" spans="1:22" ht="12.95" customHeight="1" x14ac:dyDescent="0.2">
      <c r="A158" s="274">
        <v>5176</v>
      </c>
      <c r="B158" s="241" t="str">
        <f t="shared" si="18"/>
        <v>FS</v>
      </c>
      <c r="C158" s="243" t="str">
        <f t="shared" si="19"/>
        <v/>
      </c>
      <c r="D158" s="275" t="s">
        <v>215</v>
      </c>
      <c r="E158" s="214" t="str">
        <f t="shared" si="20"/>
        <v>FS</v>
      </c>
      <c r="F158" s="242">
        <f t="shared" si="21"/>
        <v>5176</v>
      </c>
      <c r="G158" s="274">
        <v>500</v>
      </c>
      <c r="H158" s="241" t="str">
        <f t="shared" si="17"/>
        <v xml:space="preserve">Fannin Special </v>
      </c>
      <c r="I158" s="241" t="s">
        <v>848</v>
      </c>
      <c r="L158" s="351" t="str">
        <f t="shared" si="16"/>
        <v>HOLBROOK</v>
      </c>
      <c r="M158" s="512">
        <v>5755</v>
      </c>
      <c r="N158" s="511" t="s">
        <v>1070</v>
      </c>
      <c r="O158" s="511" t="s">
        <v>1815</v>
      </c>
      <c r="P158" s="512" t="s">
        <v>701</v>
      </c>
      <c r="T158" s="348">
        <v>5712</v>
      </c>
      <c r="U158" s="348" t="s">
        <v>1292</v>
      </c>
      <c r="V158" s="348" t="s">
        <v>1293</v>
      </c>
    </row>
    <row r="159" spans="1:22" ht="12.95" customHeight="1" x14ac:dyDescent="0.2">
      <c r="A159" s="274">
        <v>5177</v>
      </c>
      <c r="B159" s="241" t="str">
        <f t="shared" si="18"/>
        <v>UN</v>
      </c>
      <c r="C159" s="243" t="str">
        <f t="shared" si="19"/>
        <v/>
      </c>
      <c r="D159" s="275" t="s">
        <v>1590</v>
      </c>
      <c r="E159" s="214" t="str">
        <f t="shared" si="20"/>
        <v>UN</v>
      </c>
      <c r="F159" s="242">
        <f t="shared" si="21"/>
        <v>5177</v>
      </c>
      <c r="G159" s="274">
        <v>500</v>
      </c>
      <c r="H159" s="241" t="str">
        <f t="shared" si="17"/>
        <v xml:space="preserve">Udoko Nsima </v>
      </c>
      <c r="I159" s="241" t="s">
        <v>849</v>
      </c>
      <c r="L159" s="351" t="str">
        <f t="shared" si="16"/>
        <v>HOLLAND</v>
      </c>
      <c r="M159" s="512">
        <v>3300</v>
      </c>
      <c r="N159" s="511" t="s">
        <v>1300</v>
      </c>
      <c r="O159" s="511" t="s">
        <v>528</v>
      </c>
      <c r="P159" s="512" t="s">
        <v>701</v>
      </c>
      <c r="T159" s="348">
        <v>5378</v>
      </c>
      <c r="U159" s="348" t="s">
        <v>1294</v>
      </c>
      <c r="V159" s="348" t="s">
        <v>615</v>
      </c>
    </row>
    <row r="160" spans="1:22" ht="12.95" customHeight="1" x14ac:dyDescent="0.2">
      <c r="A160" s="274">
        <v>5178</v>
      </c>
      <c r="B160" s="241" t="str">
        <f t="shared" si="18"/>
        <v>BS</v>
      </c>
      <c r="C160" s="243" t="str">
        <f t="shared" si="19"/>
        <v/>
      </c>
      <c r="D160" s="275" t="s">
        <v>318</v>
      </c>
      <c r="E160" s="214" t="str">
        <f t="shared" si="20"/>
        <v>BS</v>
      </c>
      <c r="F160" s="242">
        <f t="shared" si="21"/>
        <v>5178</v>
      </c>
      <c r="G160" s="274">
        <v>500</v>
      </c>
      <c r="H160" s="241" t="str">
        <f t="shared" si="17"/>
        <v xml:space="preserve">Braintwain, Steve </v>
      </c>
      <c r="I160" s="241" t="s">
        <v>849</v>
      </c>
      <c r="L160" s="351" t="str">
        <f t="shared" si="16"/>
        <v>HOPE</v>
      </c>
      <c r="M160" s="512">
        <v>5350</v>
      </c>
      <c r="N160" s="511" t="s">
        <v>1301</v>
      </c>
      <c r="O160" s="511" t="s">
        <v>1816</v>
      </c>
      <c r="P160" s="512" t="s">
        <v>701</v>
      </c>
      <c r="T160" s="348" t="s">
        <v>1122</v>
      </c>
      <c r="U160" s="348" t="s">
        <v>1295</v>
      </c>
      <c r="V160" s="348" t="s">
        <v>1296</v>
      </c>
    </row>
    <row r="161" spans="1:22" ht="12.95" customHeight="1" x14ac:dyDescent="0.2">
      <c r="A161" s="274">
        <v>5179</v>
      </c>
      <c r="B161" s="241" t="str">
        <f t="shared" si="18"/>
        <v>BS</v>
      </c>
      <c r="C161" s="243" t="str">
        <f t="shared" si="19"/>
        <v/>
      </c>
      <c r="D161" s="275" t="s">
        <v>196</v>
      </c>
      <c r="E161" s="214" t="str">
        <f t="shared" si="20"/>
        <v>BS</v>
      </c>
      <c r="F161" s="242">
        <f t="shared" si="21"/>
        <v>5179</v>
      </c>
      <c r="G161" s="274">
        <v>500</v>
      </c>
      <c r="H161" s="241" t="str">
        <f t="shared" si="17"/>
        <v xml:space="preserve">Braintwain Special </v>
      </c>
      <c r="I161" s="241" t="s">
        <v>848</v>
      </c>
      <c r="L161" s="351" t="str">
        <f t="shared" si="16"/>
        <v>HOPE</v>
      </c>
      <c r="M161" s="512">
        <v>5350</v>
      </c>
      <c r="N161" s="511" t="s">
        <v>1303</v>
      </c>
      <c r="O161" s="511" t="s">
        <v>650</v>
      </c>
      <c r="P161" s="512" t="s">
        <v>701</v>
      </c>
      <c r="T161" s="348">
        <v>5346</v>
      </c>
      <c r="U161" s="348" t="s">
        <v>1297</v>
      </c>
      <c r="V161" s="348" t="s">
        <v>1298</v>
      </c>
    </row>
    <row r="162" spans="1:22" ht="12.95" customHeight="1" x14ac:dyDescent="0.2">
      <c r="A162" s="274">
        <v>5180</v>
      </c>
      <c r="B162" s="241" t="str">
        <f t="shared" si="18"/>
        <v>EM</v>
      </c>
      <c r="C162" s="243" t="str">
        <f t="shared" si="19"/>
        <v/>
      </c>
      <c r="D162" s="275" t="s">
        <v>1591</v>
      </c>
      <c r="E162" s="214" t="str">
        <f t="shared" si="20"/>
        <v>EM</v>
      </c>
      <c r="F162" s="242">
        <f t="shared" si="21"/>
        <v>5180</v>
      </c>
      <c r="G162" s="274">
        <v>500</v>
      </c>
      <c r="H162" s="241" t="str">
        <f t="shared" si="17"/>
        <v xml:space="preserve">Eilers Marc </v>
      </c>
      <c r="I162" s="241" t="s">
        <v>849</v>
      </c>
      <c r="L162" s="351" t="str">
        <f t="shared" si="16"/>
        <v>Howard</v>
      </c>
      <c r="M162" s="512">
        <v>5381</v>
      </c>
      <c r="N162" s="511" t="s">
        <v>1913</v>
      </c>
      <c r="O162" s="513" t="s">
        <v>1914</v>
      </c>
      <c r="P162" s="514" t="s">
        <v>701</v>
      </c>
      <c r="T162" s="348">
        <v>5755</v>
      </c>
      <c r="U162" s="348" t="s">
        <v>1070</v>
      </c>
      <c r="V162" s="348" t="s">
        <v>1299</v>
      </c>
    </row>
    <row r="163" spans="1:22" ht="12.95" customHeight="1" x14ac:dyDescent="0.2">
      <c r="A163" s="274">
        <v>5181</v>
      </c>
      <c r="B163" s="241" t="str">
        <f t="shared" si="18"/>
        <v>KI</v>
      </c>
      <c r="C163" s="243" t="str">
        <f t="shared" si="19"/>
        <v/>
      </c>
      <c r="D163" s="275" t="s">
        <v>895</v>
      </c>
      <c r="E163" s="214" t="str">
        <f t="shared" si="20"/>
        <v>KI</v>
      </c>
      <c r="F163" s="242">
        <f t="shared" si="21"/>
        <v>5181</v>
      </c>
      <c r="G163" s="274">
        <v>500</v>
      </c>
      <c r="H163" s="241" t="str">
        <f t="shared" si="17"/>
        <v xml:space="preserve">Kim, In Cheol [Aquila] </v>
      </c>
      <c r="I163" s="241" t="s">
        <v>849</v>
      </c>
      <c r="L163" s="351" t="str">
        <f t="shared" si="16"/>
        <v>DANA HUFF</v>
      </c>
      <c r="M163" s="512">
        <v>5199</v>
      </c>
      <c r="N163" s="511" t="s">
        <v>1304</v>
      </c>
      <c r="O163" s="511" t="s">
        <v>1305</v>
      </c>
      <c r="P163" s="512" t="s">
        <v>701</v>
      </c>
      <c r="T163" s="348">
        <v>3300</v>
      </c>
      <c r="U163" s="348" t="s">
        <v>1300</v>
      </c>
      <c r="V163" s="348" t="s">
        <v>528</v>
      </c>
    </row>
    <row r="164" spans="1:22" ht="12.95" customHeight="1" x14ac:dyDescent="0.2">
      <c r="A164" s="274">
        <v>5183</v>
      </c>
      <c r="B164" s="241" t="str">
        <f t="shared" si="18"/>
        <v>NB</v>
      </c>
      <c r="C164" s="243" t="str">
        <f t="shared" si="19"/>
        <v/>
      </c>
      <c r="D164" s="275" t="s">
        <v>447</v>
      </c>
      <c r="E164" s="214" t="str">
        <f t="shared" si="20"/>
        <v>NB</v>
      </c>
      <c r="F164" s="242">
        <f t="shared" si="21"/>
        <v>5183</v>
      </c>
      <c r="G164" s="274">
        <v>500</v>
      </c>
      <c r="H164" s="241" t="str">
        <f t="shared" si="17"/>
        <v xml:space="preserve">Ng, Boon-Kjhai </v>
      </c>
      <c r="I164" s="241" t="s">
        <v>849</v>
      </c>
      <c r="L164" s="351" t="str">
        <f t="shared" si="16"/>
        <v>HUSTON</v>
      </c>
      <c r="M164" s="512">
        <v>5600</v>
      </c>
      <c r="N164" s="511" t="s">
        <v>794</v>
      </c>
      <c r="O164" s="511" t="s">
        <v>868</v>
      </c>
      <c r="P164" s="512" t="s">
        <v>701</v>
      </c>
      <c r="T164" s="348">
        <v>5350</v>
      </c>
      <c r="U164" s="348" t="s">
        <v>1301</v>
      </c>
      <c r="V164" s="348" t="s">
        <v>1302</v>
      </c>
    </row>
    <row r="165" spans="1:22" ht="12.95" customHeight="1" x14ac:dyDescent="0.2">
      <c r="A165" s="274">
        <v>5184</v>
      </c>
      <c r="B165" s="241" t="str">
        <f t="shared" si="18"/>
        <v>HP</v>
      </c>
      <c r="C165" s="243" t="str">
        <f t="shared" si="19"/>
        <v/>
      </c>
      <c r="D165" s="275" t="s">
        <v>1592</v>
      </c>
      <c r="E165" s="214" t="str">
        <f t="shared" si="20"/>
        <v>HP</v>
      </c>
      <c r="F165" s="242">
        <f t="shared" si="21"/>
        <v>5184</v>
      </c>
      <c r="G165" s="274">
        <v>500</v>
      </c>
      <c r="H165" s="241" t="str">
        <f t="shared" si="17"/>
        <v xml:space="preserve">Hayzlett, P&amp;S </v>
      </c>
      <c r="I165" s="241" t="s">
        <v>849</v>
      </c>
      <c r="L165" s="351" t="str">
        <f t="shared" si="16"/>
        <v>INGRAM</v>
      </c>
      <c r="M165" s="512">
        <v>5452</v>
      </c>
      <c r="N165" s="511" t="s">
        <v>1309</v>
      </c>
      <c r="O165" s="511" t="s">
        <v>637</v>
      </c>
      <c r="P165" s="512" t="s">
        <v>701</v>
      </c>
      <c r="T165" s="347">
        <v>5350</v>
      </c>
      <c r="U165" s="347" t="s">
        <v>1303</v>
      </c>
      <c r="V165" s="348" t="s">
        <v>650</v>
      </c>
    </row>
    <row r="166" spans="1:22" ht="12.95" customHeight="1" x14ac:dyDescent="0.2">
      <c r="A166" s="274">
        <v>5185</v>
      </c>
      <c r="B166" s="241" t="str">
        <f t="shared" si="18"/>
        <v>MT</v>
      </c>
      <c r="C166" s="243" t="str">
        <f t="shared" si="19"/>
        <v/>
      </c>
      <c r="D166" s="275" t="s">
        <v>1593</v>
      </c>
      <c r="E166" s="214" t="str">
        <f t="shared" si="20"/>
        <v>MT</v>
      </c>
      <c r="F166" s="242">
        <f t="shared" si="21"/>
        <v>5185</v>
      </c>
      <c r="G166" s="274">
        <v>500</v>
      </c>
      <c r="H166" s="241" t="str">
        <f t="shared" si="17"/>
        <v xml:space="preserve">Mac TK &amp; Liz </v>
      </c>
      <c r="I166" s="241" t="s">
        <v>849</v>
      </c>
      <c r="L166" s="351" t="str">
        <f t="shared" ref="L166:L229" si="22">RIGHT(O166,LEN(O166)-SEARCH(" ",O166,1))</f>
        <v>INNIS</v>
      </c>
      <c r="M166" s="512">
        <v>5574</v>
      </c>
      <c r="N166" s="511" t="s">
        <v>1310</v>
      </c>
      <c r="O166" s="511" t="s">
        <v>781</v>
      </c>
      <c r="P166" s="512" t="s">
        <v>701</v>
      </c>
      <c r="T166" s="348">
        <v>5199</v>
      </c>
      <c r="U166" s="348" t="s">
        <v>1304</v>
      </c>
      <c r="V166" s="348" t="s">
        <v>1305</v>
      </c>
    </row>
    <row r="167" spans="1:22" ht="12.95" customHeight="1" x14ac:dyDescent="0.2">
      <c r="A167" s="274">
        <v>5188</v>
      </c>
      <c r="B167" s="241" t="str">
        <f t="shared" si="18"/>
        <v>OP</v>
      </c>
      <c r="C167" s="243" t="str">
        <f t="shared" si="19"/>
        <v/>
      </c>
      <c r="D167" s="275" t="s">
        <v>450</v>
      </c>
      <c r="E167" s="214" t="str">
        <f t="shared" si="20"/>
        <v>OP</v>
      </c>
      <c r="F167" s="242">
        <f t="shared" si="21"/>
        <v>5188</v>
      </c>
      <c r="G167" s="274">
        <v>500</v>
      </c>
      <c r="H167" s="241" t="str">
        <f t="shared" si="17"/>
        <v xml:space="preserve">Olcott, Pat </v>
      </c>
      <c r="I167" s="241" t="s">
        <v>849</v>
      </c>
      <c r="L167" s="351" t="str">
        <f t="shared" si="22"/>
        <v>&amp; PAM JACKSON</v>
      </c>
      <c r="M167" s="512">
        <v>5783</v>
      </c>
      <c r="N167" s="511" t="s">
        <v>1311</v>
      </c>
      <c r="O167" s="511" t="s">
        <v>1817</v>
      </c>
      <c r="P167" s="512" t="s">
        <v>701</v>
      </c>
      <c r="T167" s="348">
        <v>5600</v>
      </c>
      <c r="U167" s="348" t="s">
        <v>794</v>
      </c>
      <c r="V167" s="348" t="s">
        <v>1306</v>
      </c>
    </row>
    <row r="168" spans="1:22" ht="12.95" customHeight="1" x14ac:dyDescent="0.2">
      <c r="A168" s="274"/>
      <c r="B168" s="241"/>
      <c r="C168" s="243"/>
      <c r="D168" s="275"/>
      <c r="F168" s="242"/>
      <c r="G168" s="274"/>
      <c r="H168" s="241" t="e">
        <f>LEFT(D168,SEARCH("(",D168,1)-1)</f>
        <v>#VALUE!</v>
      </c>
      <c r="I168" s="241"/>
      <c r="L168" s="351" t="str">
        <f t="shared" si="22"/>
        <v xml:space="preserve"> &amp; SANDRA JACKSON</v>
      </c>
      <c r="M168" s="512">
        <v>5143</v>
      </c>
      <c r="N168" s="511" t="s">
        <v>1313</v>
      </c>
      <c r="O168" s="511" t="s">
        <v>1314</v>
      </c>
      <c r="P168" s="512" t="s">
        <v>701</v>
      </c>
      <c r="T168" s="348">
        <v>3100</v>
      </c>
      <c r="U168" s="348" t="s">
        <v>1307</v>
      </c>
      <c r="V168" s="348" t="s">
        <v>1308</v>
      </c>
    </row>
    <row r="169" spans="1:22" ht="12.95" customHeight="1" x14ac:dyDescent="0.2">
      <c r="A169" s="274">
        <v>5190</v>
      </c>
      <c r="B169" s="241" t="str">
        <f t="shared" si="18"/>
        <v>CT</v>
      </c>
      <c r="C169" s="243" t="str">
        <f t="shared" si="19"/>
        <v/>
      </c>
      <c r="D169" s="275" t="s">
        <v>1587</v>
      </c>
      <c r="E169" s="214" t="str">
        <f t="shared" si="20"/>
        <v>CT</v>
      </c>
      <c r="F169" s="242">
        <f t="shared" si="21"/>
        <v>5190</v>
      </c>
      <c r="G169" s="274">
        <v>500</v>
      </c>
      <c r="H169" s="241" t="str">
        <f t="shared" ref="H169:H236" si="23">LEFT(D169,SEARCH("(",D169,1)-1)</f>
        <v xml:space="preserve">Curtis, Tyler </v>
      </c>
      <c r="I169" s="241" t="s">
        <v>849</v>
      </c>
      <c r="L169" s="351" t="str">
        <f t="shared" si="22"/>
        <v>JALETTA</v>
      </c>
      <c r="M169" s="512">
        <v>5693</v>
      </c>
      <c r="N169" s="511" t="s">
        <v>1315</v>
      </c>
      <c r="O169" s="511" t="s">
        <v>1316</v>
      </c>
      <c r="P169" s="512" t="s">
        <v>701</v>
      </c>
      <c r="T169" s="348">
        <v>5452</v>
      </c>
      <c r="U169" s="348" t="s">
        <v>1309</v>
      </c>
      <c r="V169" s="348" t="s">
        <v>637</v>
      </c>
    </row>
    <row r="170" spans="1:22" ht="12.95" customHeight="1" x14ac:dyDescent="0.2">
      <c r="A170" s="274">
        <v>5192</v>
      </c>
      <c r="B170" s="241" t="str">
        <f t="shared" si="18"/>
        <v>CL</v>
      </c>
      <c r="C170" s="243" t="str">
        <f t="shared" si="19"/>
        <v/>
      </c>
      <c r="D170" s="275" t="s">
        <v>334</v>
      </c>
      <c r="E170" s="214" t="str">
        <f t="shared" si="20"/>
        <v>CL</v>
      </c>
      <c r="F170" s="242">
        <f t="shared" si="21"/>
        <v>5192</v>
      </c>
      <c r="G170" s="274">
        <v>500</v>
      </c>
      <c r="H170" s="241" t="str">
        <f t="shared" si="23"/>
        <v xml:space="preserve">Compton, Laura </v>
      </c>
      <c r="I170" s="241" t="s">
        <v>849</v>
      </c>
      <c r="L170" s="351" t="str">
        <f t="shared" si="22"/>
        <v>JANG</v>
      </c>
      <c r="M170" s="512">
        <v>5196</v>
      </c>
      <c r="N170" s="511" t="s">
        <v>1317</v>
      </c>
      <c r="O170" s="511" t="s">
        <v>680</v>
      </c>
      <c r="P170" s="512" t="s">
        <v>701</v>
      </c>
      <c r="T170" s="348">
        <v>5574</v>
      </c>
      <c r="U170" s="348" t="s">
        <v>1310</v>
      </c>
      <c r="V170" s="348" t="s">
        <v>781</v>
      </c>
    </row>
    <row r="171" spans="1:22" ht="12.95" customHeight="1" x14ac:dyDescent="0.2">
      <c r="A171" s="274">
        <v>5193</v>
      </c>
      <c r="B171" s="241" t="str">
        <f t="shared" si="18"/>
        <v>CS</v>
      </c>
      <c r="C171" s="243" t="str">
        <f t="shared" si="19"/>
        <v/>
      </c>
      <c r="D171" s="275" t="s">
        <v>333</v>
      </c>
      <c r="E171" s="214" t="str">
        <f t="shared" si="20"/>
        <v>CS</v>
      </c>
      <c r="F171" s="242">
        <f t="shared" si="21"/>
        <v>5193</v>
      </c>
      <c r="G171" s="274">
        <v>500</v>
      </c>
      <c r="H171" s="241" t="str">
        <f t="shared" si="23"/>
        <v xml:space="preserve">Compton Special </v>
      </c>
      <c r="I171" s="241" t="s">
        <v>848</v>
      </c>
      <c r="L171" s="351" t="str">
        <f t="shared" si="22"/>
        <v>JANTZ</v>
      </c>
      <c r="M171" s="512">
        <v>3200</v>
      </c>
      <c r="N171" s="511" t="s">
        <v>1318</v>
      </c>
      <c r="O171" s="511" t="s">
        <v>645</v>
      </c>
      <c r="P171" s="512" t="s">
        <v>701</v>
      </c>
      <c r="T171" s="348">
        <v>5783</v>
      </c>
      <c r="U171" s="348" t="s">
        <v>1311</v>
      </c>
      <c r="V171" s="348" t="s">
        <v>1312</v>
      </c>
    </row>
    <row r="172" spans="1:22" ht="12.95" customHeight="1" x14ac:dyDescent="0.2">
      <c r="A172" s="274">
        <v>5195</v>
      </c>
      <c r="B172" s="241" t="str">
        <f t="shared" si="18"/>
        <v>KP</v>
      </c>
      <c r="C172" s="243" t="str">
        <f t="shared" si="19"/>
        <v/>
      </c>
      <c r="D172" s="275" t="s">
        <v>404</v>
      </c>
      <c r="E172" s="214" t="str">
        <f t="shared" si="20"/>
        <v>KP</v>
      </c>
      <c r="F172" s="242">
        <f t="shared" si="21"/>
        <v>5195</v>
      </c>
      <c r="G172" s="274">
        <v>500</v>
      </c>
      <c r="H172" s="241" t="str">
        <f t="shared" si="23"/>
        <v xml:space="preserve">Kershaw, Pat </v>
      </c>
      <c r="I172" s="241" t="s">
        <v>849</v>
      </c>
      <c r="L172" s="351" t="str">
        <f t="shared" si="22"/>
        <v>&amp; LIZ JOHNSON</v>
      </c>
      <c r="M172" s="512">
        <v>5927</v>
      </c>
      <c r="N172" s="511" t="s">
        <v>1818</v>
      </c>
      <c r="O172" s="511" t="s">
        <v>1819</v>
      </c>
      <c r="P172" s="512" t="s">
        <v>701</v>
      </c>
      <c r="T172" s="348">
        <v>5143</v>
      </c>
      <c r="U172" s="348" t="s">
        <v>1313</v>
      </c>
      <c r="V172" s="348" t="s">
        <v>1314</v>
      </c>
    </row>
    <row r="173" spans="1:22" ht="12.95" customHeight="1" x14ac:dyDescent="0.2">
      <c r="A173" s="274">
        <v>5196</v>
      </c>
      <c r="B173" s="241" t="str">
        <f t="shared" si="18"/>
        <v>JN</v>
      </c>
      <c r="C173" s="243" t="str">
        <f t="shared" si="19"/>
        <v/>
      </c>
      <c r="D173" s="275" t="s">
        <v>668</v>
      </c>
      <c r="E173" s="214" t="str">
        <f t="shared" si="20"/>
        <v>JN</v>
      </c>
      <c r="F173" s="242">
        <f t="shared" si="21"/>
        <v>5196</v>
      </c>
      <c r="G173" s="274">
        <v>500</v>
      </c>
      <c r="H173" s="241" t="str">
        <f t="shared" si="23"/>
        <v xml:space="preserve">Jang, Norm </v>
      </c>
      <c r="I173" s="241" t="s">
        <v>849</v>
      </c>
      <c r="L173" s="351" t="str">
        <f t="shared" si="22"/>
        <v>JONSSON</v>
      </c>
      <c r="M173" s="512">
        <v>5189</v>
      </c>
      <c r="N173" s="511" t="s">
        <v>1580</v>
      </c>
      <c r="O173" s="511" t="s">
        <v>1579</v>
      </c>
      <c r="P173" s="512" t="s">
        <v>701</v>
      </c>
      <c r="T173" s="348">
        <v>5693</v>
      </c>
      <c r="U173" s="348" t="s">
        <v>1315</v>
      </c>
      <c r="V173" s="348" t="s">
        <v>1316</v>
      </c>
    </row>
    <row r="174" spans="1:22" ht="12.95" customHeight="1" x14ac:dyDescent="0.2">
      <c r="A174" s="274">
        <v>5197</v>
      </c>
      <c r="B174" s="241" t="str">
        <f t="shared" si="18"/>
        <v>WS</v>
      </c>
      <c r="C174" s="243" t="str">
        <f t="shared" si="19"/>
        <v/>
      </c>
      <c r="D174" s="275" t="s">
        <v>513</v>
      </c>
      <c r="E174" s="214" t="str">
        <f t="shared" si="20"/>
        <v>WS</v>
      </c>
      <c r="F174" s="242">
        <f t="shared" si="21"/>
        <v>5197</v>
      </c>
      <c r="G174" s="274">
        <v>500</v>
      </c>
      <c r="H174" s="241" t="str">
        <f t="shared" si="23"/>
        <v xml:space="preserve">Woods, Scott </v>
      </c>
      <c r="I174" s="241" t="s">
        <v>849</v>
      </c>
      <c r="L174" s="351" t="str">
        <f t="shared" si="22"/>
        <v>JOSEPH</v>
      </c>
      <c r="M174" s="512">
        <v>5572</v>
      </c>
      <c r="N174" s="511" t="s">
        <v>640</v>
      </c>
      <c r="O174" s="511" t="s">
        <v>869</v>
      </c>
      <c r="P174" s="512" t="s">
        <v>701</v>
      </c>
      <c r="T174" s="348">
        <v>5196</v>
      </c>
      <c r="U174" s="348" t="s">
        <v>1317</v>
      </c>
      <c r="V174" s="348" t="s">
        <v>680</v>
      </c>
    </row>
    <row r="175" spans="1:22" ht="12.95" customHeight="1" x14ac:dyDescent="0.2">
      <c r="A175" s="274">
        <v>5198</v>
      </c>
      <c r="B175" s="241" t="str">
        <f t="shared" si="18"/>
        <v>HD</v>
      </c>
      <c r="C175" s="243" t="str">
        <f t="shared" si="19"/>
        <v/>
      </c>
      <c r="D175" s="275" t="s">
        <v>380</v>
      </c>
      <c r="E175" s="214" t="str">
        <f t="shared" si="20"/>
        <v>HD</v>
      </c>
      <c r="F175" s="242">
        <f t="shared" si="21"/>
        <v>5198</v>
      </c>
      <c r="G175" s="274">
        <v>500</v>
      </c>
      <c r="H175" s="241" t="str">
        <f t="shared" si="23"/>
        <v xml:space="preserve">Halverson, Dean </v>
      </c>
      <c r="I175" s="241" t="s">
        <v>849</v>
      </c>
      <c r="L175" s="351" t="str">
        <f t="shared" si="22"/>
        <v>&amp; MELANIE KANESHIRO</v>
      </c>
      <c r="M175" s="510">
        <v>5142</v>
      </c>
      <c r="N175" s="511" t="s">
        <v>540</v>
      </c>
      <c r="O175" s="511" t="s">
        <v>1322</v>
      </c>
      <c r="P175" s="512" t="s">
        <v>701</v>
      </c>
      <c r="T175" s="348">
        <v>3200</v>
      </c>
      <c r="U175" s="348" t="s">
        <v>1318</v>
      </c>
      <c r="V175" s="348" t="s">
        <v>645</v>
      </c>
    </row>
    <row r="176" spans="1:22" ht="12.95" customHeight="1" x14ac:dyDescent="0.2">
      <c r="A176" s="274">
        <v>5199</v>
      </c>
      <c r="B176" s="241" t="str">
        <f t="shared" si="18"/>
        <v>HD</v>
      </c>
      <c r="C176" s="243" t="str">
        <f t="shared" si="19"/>
        <v/>
      </c>
      <c r="D176" s="275" t="s">
        <v>737</v>
      </c>
      <c r="E176" s="214" t="str">
        <f t="shared" si="20"/>
        <v>HD</v>
      </c>
      <c r="F176" s="242">
        <f t="shared" si="21"/>
        <v>5199</v>
      </c>
      <c r="G176" s="274">
        <v>500</v>
      </c>
      <c r="H176" s="241" t="str">
        <f t="shared" si="23"/>
        <v xml:space="preserve">Huff, Dana [Russell] </v>
      </c>
      <c r="I176" s="241" t="s">
        <v>849</v>
      </c>
      <c r="L176" s="351" t="str">
        <f t="shared" si="22"/>
        <v>KENDAGOR</v>
      </c>
      <c r="M176" s="512">
        <v>5613</v>
      </c>
      <c r="N176" s="511" t="s">
        <v>646</v>
      </c>
      <c r="O176" s="511" t="s">
        <v>647</v>
      </c>
      <c r="P176" s="512" t="s">
        <v>701</v>
      </c>
      <c r="T176" s="348">
        <v>5927</v>
      </c>
      <c r="U176" s="348" t="s">
        <v>1319</v>
      </c>
      <c r="V176" s="348" t="s">
        <v>1320</v>
      </c>
    </row>
    <row r="177" spans="1:22" ht="12.95" customHeight="1" x14ac:dyDescent="0.2">
      <c r="A177" s="274">
        <v>5200</v>
      </c>
      <c r="B177" s="241" t="str">
        <f t="shared" si="18"/>
        <v>EP</v>
      </c>
      <c r="C177" s="243" t="str">
        <f t="shared" si="19"/>
        <v>Shaw, Tovar</v>
      </c>
      <c r="D177" s="275" t="s">
        <v>1734</v>
      </c>
      <c r="E177" s="214" t="str">
        <f t="shared" si="20"/>
        <v>EP</v>
      </c>
      <c r="F177" s="242">
        <f t="shared" si="21"/>
        <v>5200</v>
      </c>
      <c r="G177" s="274">
        <v>200</v>
      </c>
      <c r="H177" s="241" t="str">
        <f t="shared" si="23"/>
        <v xml:space="preserve">ESL/CSL Program </v>
      </c>
      <c r="I177" s="241" t="s">
        <v>846</v>
      </c>
      <c r="L177" s="351" t="str">
        <f t="shared" si="22"/>
        <v>KERSHAW</v>
      </c>
      <c r="M177" s="512">
        <v>5195</v>
      </c>
      <c r="N177" s="511" t="s">
        <v>622</v>
      </c>
      <c r="O177" s="511" t="s">
        <v>623</v>
      </c>
      <c r="P177" s="512" t="s">
        <v>701</v>
      </c>
      <c r="T177" s="348" t="s">
        <v>1122</v>
      </c>
      <c r="U177" s="348" t="s">
        <v>1465</v>
      </c>
      <c r="V177" s="348" t="s">
        <v>1466</v>
      </c>
    </row>
    <row r="178" spans="1:22" ht="12.95" customHeight="1" x14ac:dyDescent="0.2">
      <c r="A178" s="274">
        <v>5201</v>
      </c>
      <c r="B178" s="241" t="str">
        <f t="shared" si="18"/>
        <v>Bo</v>
      </c>
      <c r="C178" s="243" t="str">
        <f t="shared" si="19"/>
        <v>Shaw, Tovar</v>
      </c>
      <c r="D178" s="275" t="s">
        <v>1735</v>
      </c>
      <c r="E178" s="214" t="str">
        <f t="shared" si="20"/>
        <v>Bo</v>
      </c>
      <c r="F178" s="242">
        <f t="shared" si="21"/>
        <v>5201</v>
      </c>
      <c r="G178" s="264">
        <v>200</v>
      </c>
      <c r="H178" s="241" t="str">
        <f t="shared" si="23"/>
        <v xml:space="preserve">Board of Trustees </v>
      </c>
      <c r="I178" s="241" t="s">
        <v>846</v>
      </c>
      <c r="L178" s="351" t="str">
        <f t="shared" si="22"/>
        <v>KESTLE</v>
      </c>
      <c r="M178" s="512">
        <v>5332</v>
      </c>
      <c r="N178" s="511" t="s">
        <v>1769</v>
      </c>
      <c r="O178" s="511" t="s">
        <v>1820</v>
      </c>
      <c r="P178" s="512" t="s">
        <v>701</v>
      </c>
      <c r="T178" s="348">
        <v>5189</v>
      </c>
      <c r="U178" s="348" t="s">
        <v>1580</v>
      </c>
      <c r="V178" s="348" t="s">
        <v>1581</v>
      </c>
    </row>
    <row r="179" spans="1:22" ht="12.95" customHeight="1" x14ac:dyDescent="0.2">
      <c r="A179" s="274">
        <v>5202</v>
      </c>
      <c r="B179" s="241" t="str">
        <f t="shared" si="18"/>
        <v>FC</v>
      </c>
      <c r="C179" s="243" t="str">
        <f t="shared" si="19"/>
        <v>Babcock</v>
      </c>
      <c r="D179" s="275" t="s">
        <v>1757</v>
      </c>
      <c r="E179" s="214" t="str">
        <f t="shared" si="20"/>
        <v>FC</v>
      </c>
      <c r="F179" s="242">
        <f t="shared" si="21"/>
        <v>5202</v>
      </c>
      <c r="G179" s="264">
        <v>500</v>
      </c>
      <c r="H179" s="241" t="str">
        <f t="shared" si="23"/>
        <v xml:space="preserve">Ft. Collins Student Scholarships </v>
      </c>
      <c r="I179" s="241" t="s">
        <v>847</v>
      </c>
      <c r="L179" s="351" t="str">
        <f t="shared" si="22"/>
        <v>&amp; DAPHNE KILLION</v>
      </c>
      <c r="M179" s="512">
        <v>5326</v>
      </c>
      <c r="N179" s="511" t="s">
        <v>1821</v>
      </c>
      <c r="O179" s="511" t="s">
        <v>1822</v>
      </c>
      <c r="P179" s="512" t="s">
        <v>701</v>
      </c>
      <c r="T179" s="348">
        <v>5572</v>
      </c>
      <c r="U179" s="348" t="s">
        <v>640</v>
      </c>
      <c r="V179" s="348" t="s">
        <v>1321</v>
      </c>
    </row>
    <row r="180" spans="1:22" ht="12.95" customHeight="1" x14ac:dyDescent="0.2">
      <c r="A180" s="274">
        <v>5205</v>
      </c>
      <c r="B180" s="241" t="str">
        <f t="shared" si="18"/>
        <v>BF</v>
      </c>
      <c r="C180" s="243" t="str">
        <f t="shared" si="19"/>
        <v>Shaw, Tovar</v>
      </c>
      <c r="D180" s="275" t="s">
        <v>1736</v>
      </c>
      <c r="E180" s="214" t="str">
        <f t="shared" si="20"/>
        <v>BF</v>
      </c>
      <c r="F180" s="242">
        <f t="shared" si="21"/>
        <v>5205</v>
      </c>
      <c r="G180" s="264">
        <v>300</v>
      </c>
      <c r="H180" s="241" t="str">
        <f t="shared" si="23"/>
        <v xml:space="preserve">Benevolence Fund </v>
      </c>
      <c r="I180" s="241" t="s">
        <v>846</v>
      </c>
      <c r="L180" s="351" t="str">
        <f t="shared" si="22"/>
        <v>CHEOL KIM</v>
      </c>
      <c r="M180" s="512">
        <v>5181</v>
      </c>
      <c r="N180" s="511" t="s">
        <v>1323</v>
      </c>
      <c r="O180" s="511" t="s">
        <v>782</v>
      </c>
      <c r="P180" s="512" t="s">
        <v>701</v>
      </c>
      <c r="T180" s="348">
        <v>5142</v>
      </c>
      <c r="U180" s="348" t="s">
        <v>540</v>
      </c>
      <c r="V180" s="348" t="s">
        <v>1322</v>
      </c>
    </row>
    <row r="181" spans="1:22" ht="12.95" customHeight="1" x14ac:dyDescent="0.2">
      <c r="A181" s="274">
        <v>5206</v>
      </c>
      <c r="B181" s="241" t="str">
        <f t="shared" si="18"/>
        <v>DR</v>
      </c>
      <c r="C181" s="243" t="str">
        <f t="shared" si="19"/>
        <v/>
      </c>
      <c r="D181" s="275" t="s">
        <v>1597</v>
      </c>
      <c r="E181" s="214" t="str">
        <f t="shared" si="20"/>
        <v>DR</v>
      </c>
      <c r="F181" s="242">
        <f t="shared" si="21"/>
        <v>5206</v>
      </c>
      <c r="G181" s="274">
        <v>500</v>
      </c>
      <c r="H181" s="241" t="str">
        <f t="shared" si="23"/>
        <v xml:space="preserve">Dumaresq, Rachel </v>
      </c>
      <c r="I181" s="241" t="s">
        <v>849</v>
      </c>
      <c r="L181" s="351" t="str">
        <f t="shared" si="22"/>
        <v>AND STEVE KINDERMANN</v>
      </c>
      <c r="M181" s="512">
        <v>5351</v>
      </c>
      <c r="N181" s="511" t="s">
        <v>1324</v>
      </c>
      <c r="O181" s="511" t="s">
        <v>1823</v>
      </c>
      <c r="P181" s="512" t="s">
        <v>701</v>
      </c>
      <c r="T181" s="348">
        <v>5613</v>
      </c>
      <c r="U181" s="348" t="s">
        <v>646</v>
      </c>
      <c r="V181" s="348" t="s">
        <v>647</v>
      </c>
    </row>
    <row r="182" spans="1:22" ht="12.95" customHeight="1" x14ac:dyDescent="0.2">
      <c r="A182" s="274">
        <v>5207</v>
      </c>
      <c r="B182" s="241" t="str">
        <f t="shared" si="18"/>
        <v>AE</v>
      </c>
      <c r="C182" s="243" t="str">
        <f t="shared" si="19"/>
        <v/>
      </c>
      <c r="D182" s="275" t="s">
        <v>175</v>
      </c>
      <c r="E182" s="214" t="str">
        <f t="shared" si="20"/>
        <v>AE</v>
      </c>
      <c r="F182" s="242">
        <f t="shared" si="21"/>
        <v>5207</v>
      </c>
      <c r="G182" s="264">
        <v>500</v>
      </c>
      <c r="H182" s="241" t="str">
        <f t="shared" si="23"/>
        <v xml:space="preserve">Adidjaja, Elgeritte </v>
      </c>
      <c r="I182" s="241" t="s">
        <v>849</v>
      </c>
      <c r="L182" s="351" t="str">
        <f t="shared" si="22"/>
        <v>Koester</v>
      </c>
      <c r="M182" s="512">
        <v>5313</v>
      </c>
      <c r="N182" s="511" t="s">
        <v>1763</v>
      </c>
      <c r="O182" s="511" t="s">
        <v>1764</v>
      </c>
      <c r="P182" s="512" t="s">
        <v>701</v>
      </c>
      <c r="T182" s="348">
        <v>5195</v>
      </c>
      <c r="U182" s="348" t="s">
        <v>622</v>
      </c>
      <c r="V182" s="348" t="s">
        <v>623</v>
      </c>
    </row>
    <row r="183" spans="1:22" ht="12.95" customHeight="1" x14ac:dyDescent="0.2">
      <c r="A183" s="274">
        <v>5208</v>
      </c>
      <c r="B183" s="241" t="str">
        <f t="shared" si="18"/>
        <v>SD</v>
      </c>
      <c r="C183" s="243" t="str">
        <f t="shared" si="19"/>
        <v/>
      </c>
      <c r="D183" s="275" t="s">
        <v>261</v>
      </c>
      <c r="E183" s="214" t="str">
        <f t="shared" si="20"/>
        <v>SD</v>
      </c>
      <c r="F183" s="242">
        <f t="shared" si="21"/>
        <v>5208</v>
      </c>
      <c r="G183" s="264">
        <v>500</v>
      </c>
      <c r="H183" s="241" t="str">
        <f t="shared" si="23"/>
        <v xml:space="preserve">Sodergren, David </v>
      </c>
      <c r="I183" s="241" t="s">
        <v>849</v>
      </c>
      <c r="L183" s="351" t="str">
        <f t="shared" si="22"/>
        <v>&amp; DAVE KOLSTAD</v>
      </c>
      <c r="M183" s="512">
        <v>5658</v>
      </c>
      <c r="N183" s="511" t="s">
        <v>572</v>
      </c>
      <c r="O183" s="511" t="s">
        <v>1325</v>
      </c>
      <c r="P183" s="512" t="s">
        <v>701</v>
      </c>
      <c r="T183" s="348">
        <v>5181</v>
      </c>
      <c r="U183" s="348" t="s">
        <v>1323</v>
      </c>
      <c r="V183" s="348" t="s">
        <v>782</v>
      </c>
    </row>
    <row r="184" spans="1:22" ht="12.95" customHeight="1" x14ac:dyDescent="0.2">
      <c r="A184" s="274">
        <v>5209</v>
      </c>
      <c r="B184" s="241" t="str">
        <f t="shared" si="18"/>
        <v>SS</v>
      </c>
      <c r="C184" s="243" t="str">
        <f t="shared" si="19"/>
        <v/>
      </c>
      <c r="D184" s="275" t="s">
        <v>262</v>
      </c>
      <c r="E184" s="214" t="str">
        <f t="shared" si="20"/>
        <v>SS</v>
      </c>
      <c r="F184" s="242">
        <f t="shared" si="21"/>
        <v>5209</v>
      </c>
      <c r="G184" s="274">
        <v>500</v>
      </c>
      <c r="H184" s="241" t="str">
        <f t="shared" si="23"/>
        <v xml:space="preserve">Sodergren, Special </v>
      </c>
      <c r="I184" s="241" t="s">
        <v>848</v>
      </c>
      <c r="L184" s="351" t="str">
        <f t="shared" si="22"/>
        <v>KOPP</v>
      </c>
      <c r="M184" s="512">
        <v>5922</v>
      </c>
      <c r="N184" s="511" t="s">
        <v>1084</v>
      </c>
      <c r="O184" s="511" t="s">
        <v>1326</v>
      </c>
      <c r="P184" s="512" t="s">
        <v>701</v>
      </c>
      <c r="T184" s="348">
        <v>5351</v>
      </c>
      <c r="U184" s="348" t="s">
        <v>1324</v>
      </c>
      <c r="V184" s="348" t="s">
        <v>870</v>
      </c>
    </row>
    <row r="185" spans="1:22" ht="12.95" customHeight="1" x14ac:dyDescent="0.2">
      <c r="A185" s="274">
        <v>5210</v>
      </c>
      <c r="B185" s="241" t="str">
        <f t="shared" si="18"/>
        <v>AD</v>
      </c>
      <c r="C185" s="243" t="str">
        <f t="shared" si="19"/>
        <v/>
      </c>
      <c r="D185" s="275" t="s">
        <v>308</v>
      </c>
      <c r="E185" s="214" t="str">
        <f t="shared" si="20"/>
        <v>AD</v>
      </c>
      <c r="F185" s="242">
        <f t="shared" si="21"/>
        <v>5210</v>
      </c>
      <c r="G185" s="274">
        <v>500</v>
      </c>
      <c r="H185" s="241" t="str">
        <f t="shared" si="23"/>
        <v xml:space="preserve">Apgar, Don &amp; Sue </v>
      </c>
      <c r="I185" s="241" t="s">
        <v>849</v>
      </c>
      <c r="L185" s="351" t="str">
        <f t="shared" si="22"/>
        <v>KREHBIEL</v>
      </c>
      <c r="M185" s="512">
        <v>5794</v>
      </c>
      <c r="N185" s="511" t="s">
        <v>541</v>
      </c>
      <c r="O185" s="511" t="s">
        <v>542</v>
      </c>
      <c r="P185" s="512" t="s">
        <v>701</v>
      </c>
      <c r="T185" s="348">
        <v>53113</v>
      </c>
      <c r="U185" s="348" t="s">
        <v>1763</v>
      </c>
      <c r="V185" s="348" t="s">
        <v>1764</v>
      </c>
    </row>
    <row r="186" spans="1:22" ht="12.95" customHeight="1" x14ac:dyDescent="0.2">
      <c r="A186" s="274">
        <v>5211</v>
      </c>
      <c r="B186" s="241" t="str">
        <f t="shared" si="18"/>
        <v>AS</v>
      </c>
      <c r="C186" s="243" t="str">
        <f t="shared" si="19"/>
        <v/>
      </c>
      <c r="D186" s="275" t="s">
        <v>190</v>
      </c>
      <c r="E186" s="214" t="str">
        <f t="shared" si="20"/>
        <v>AS</v>
      </c>
      <c r="F186" s="242">
        <f t="shared" si="21"/>
        <v>5211</v>
      </c>
      <c r="G186" s="274">
        <v>500</v>
      </c>
      <c r="H186" s="241" t="str">
        <f t="shared" si="23"/>
        <v xml:space="preserve">Apgar Special </v>
      </c>
      <c r="I186" s="241" t="s">
        <v>848</v>
      </c>
      <c r="L186" s="351" t="str">
        <f t="shared" si="22"/>
        <v>KRONSTAD</v>
      </c>
      <c r="M186" s="512">
        <v>5212</v>
      </c>
      <c r="N186" s="511" t="s">
        <v>1328</v>
      </c>
      <c r="O186" s="511" t="s">
        <v>536</v>
      </c>
      <c r="P186" s="512" t="s">
        <v>701</v>
      </c>
      <c r="T186" s="348">
        <v>5658</v>
      </c>
      <c r="U186" s="348" t="s">
        <v>572</v>
      </c>
      <c r="V186" s="348" t="s">
        <v>1325</v>
      </c>
    </row>
    <row r="187" spans="1:22" ht="12.95" customHeight="1" x14ac:dyDescent="0.2">
      <c r="A187" s="274">
        <v>5212</v>
      </c>
      <c r="B187" s="241" t="str">
        <f t="shared" si="18"/>
        <v>KD</v>
      </c>
      <c r="C187" s="243" t="str">
        <f t="shared" si="19"/>
        <v/>
      </c>
      <c r="D187" s="275" t="s">
        <v>411</v>
      </c>
      <c r="E187" s="214" t="str">
        <f t="shared" si="20"/>
        <v>KD</v>
      </c>
      <c r="F187" s="242">
        <f t="shared" si="21"/>
        <v>5212</v>
      </c>
      <c r="G187" s="274">
        <v>500</v>
      </c>
      <c r="H187" s="241" t="str">
        <f t="shared" si="23"/>
        <v xml:space="preserve">Kronstad, Daniel </v>
      </c>
      <c r="I187" s="241" t="s">
        <v>849</v>
      </c>
      <c r="L187" s="351" t="str">
        <f t="shared" si="22"/>
        <v>LACKEY</v>
      </c>
      <c r="M187" s="512">
        <v>5671</v>
      </c>
      <c r="N187" s="511" t="s">
        <v>1329</v>
      </c>
      <c r="O187" s="511" t="s">
        <v>1330</v>
      </c>
      <c r="P187" s="512" t="s">
        <v>701</v>
      </c>
      <c r="T187" s="348">
        <v>5922</v>
      </c>
      <c r="U187" s="348" t="s">
        <v>1084</v>
      </c>
      <c r="V187" s="348" t="s">
        <v>1326</v>
      </c>
    </row>
    <row r="188" spans="1:22" ht="12.95" customHeight="1" x14ac:dyDescent="0.2">
      <c r="A188" s="274">
        <v>5213</v>
      </c>
      <c r="B188" s="241" t="str">
        <f t="shared" si="18"/>
        <v>KS</v>
      </c>
      <c r="C188" s="243" t="str">
        <f t="shared" si="19"/>
        <v/>
      </c>
      <c r="D188" s="275" t="s">
        <v>230</v>
      </c>
      <c r="E188" s="214" t="str">
        <f t="shared" si="20"/>
        <v>KS</v>
      </c>
      <c r="F188" s="242">
        <f t="shared" si="21"/>
        <v>5213</v>
      </c>
      <c r="G188" s="274">
        <v>500</v>
      </c>
      <c r="H188" s="241" t="str">
        <f t="shared" si="23"/>
        <v xml:space="preserve">Kronstad Special </v>
      </c>
      <c r="I188" s="241" t="s">
        <v>848</v>
      </c>
      <c r="L188" s="351" t="str">
        <f t="shared" si="22"/>
        <v>LAHTI</v>
      </c>
      <c r="M188" s="512">
        <v>5262</v>
      </c>
      <c r="N188" s="511" t="s">
        <v>1331</v>
      </c>
      <c r="O188" s="511" t="s">
        <v>603</v>
      </c>
      <c r="P188" s="512" t="s">
        <v>701</v>
      </c>
      <c r="T188" s="348">
        <v>5395</v>
      </c>
      <c r="U188" s="348" t="s">
        <v>1327</v>
      </c>
      <c r="V188" s="348" t="s">
        <v>602</v>
      </c>
    </row>
    <row r="189" spans="1:22" ht="12.95" customHeight="1" x14ac:dyDescent="0.2">
      <c r="A189" s="274">
        <v>5214</v>
      </c>
      <c r="B189" s="241" t="str">
        <f t="shared" si="18"/>
        <v>GM</v>
      </c>
      <c r="C189" s="243" t="str">
        <f t="shared" si="19"/>
        <v/>
      </c>
      <c r="D189" s="275" t="s">
        <v>376</v>
      </c>
      <c r="E189" s="214" t="str">
        <f t="shared" si="20"/>
        <v>GM</v>
      </c>
      <c r="F189" s="242">
        <f t="shared" si="21"/>
        <v>5214</v>
      </c>
      <c r="G189" s="274">
        <v>500</v>
      </c>
      <c r="H189" s="241" t="str">
        <f t="shared" si="23"/>
        <v xml:space="preserve">Gray, Mark </v>
      </c>
      <c r="I189" s="241" t="s">
        <v>849</v>
      </c>
      <c r="L189" s="351" t="str">
        <f t="shared" si="22"/>
        <v>LAM</v>
      </c>
      <c r="M189" s="512">
        <v>5740</v>
      </c>
      <c r="N189" s="511" t="s">
        <v>1332</v>
      </c>
      <c r="O189" s="511" t="s">
        <v>1058</v>
      </c>
      <c r="P189" s="512" t="s">
        <v>701</v>
      </c>
      <c r="T189" s="348">
        <v>5794</v>
      </c>
      <c r="U189" s="348" t="s">
        <v>541</v>
      </c>
      <c r="V189" s="348" t="s">
        <v>542</v>
      </c>
    </row>
    <row r="190" spans="1:22" ht="12.95" customHeight="1" x14ac:dyDescent="0.2">
      <c r="A190" s="274">
        <v>5215</v>
      </c>
      <c r="B190" s="241" t="str">
        <f t="shared" si="18"/>
        <v>GS</v>
      </c>
      <c r="C190" s="243" t="str">
        <f t="shared" si="19"/>
        <v/>
      </c>
      <c r="D190" s="275" t="s">
        <v>375</v>
      </c>
      <c r="E190" s="214" t="str">
        <f t="shared" si="20"/>
        <v>GS</v>
      </c>
      <c r="F190" s="242">
        <f t="shared" si="21"/>
        <v>5215</v>
      </c>
      <c r="G190" s="274">
        <v>500</v>
      </c>
      <c r="H190" s="241" t="str">
        <f t="shared" si="23"/>
        <v xml:space="preserve">Gray Special </v>
      </c>
      <c r="I190" s="241" t="s">
        <v>848</v>
      </c>
      <c r="L190" s="351" t="str">
        <f t="shared" si="22"/>
        <v>&amp; ABEL LAM</v>
      </c>
      <c r="M190" s="512">
        <v>5309</v>
      </c>
      <c r="N190" s="511" t="s">
        <v>1333</v>
      </c>
      <c r="O190" s="511" t="s">
        <v>1824</v>
      </c>
      <c r="P190" s="512" t="s">
        <v>701</v>
      </c>
      <c r="T190" s="348">
        <v>5212</v>
      </c>
      <c r="U190" s="348" t="s">
        <v>1328</v>
      </c>
      <c r="V190" s="348" t="s">
        <v>536</v>
      </c>
    </row>
    <row r="191" spans="1:22" ht="12.95" customHeight="1" x14ac:dyDescent="0.2">
      <c r="A191" s="274">
        <v>5216</v>
      </c>
      <c r="B191" s="241" t="str">
        <f t="shared" si="18"/>
        <v>FJ</v>
      </c>
      <c r="C191" s="243" t="str">
        <f t="shared" si="19"/>
        <v/>
      </c>
      <c r="D191" s="275" t="s">
        <v>1646</v>
      </c>
      <c r="E191" s="214" t="str">
        <f t="shared" si="20"/>
        <v>FJ</v>
      </c>
      <c r="F191" s="242">
        <f t="shared" si="21"/>
        <v>5216</v>
      </c>
      <c r="G191" s="274">
        <v>500</v>
      </c>
      <c r="H191" s="241" t="str">
        <f t="shared" si="23"/>
        <v xml:space="preserve">Frost, John &amp; Carolyn </v>
      </c>
      <c r="I191" s="241" t="s">
        <v>849</v>
      </c>
      <c r="L191" s="351" t="str">
        <f t="shared" si="22"/>
        <v>LANGFORD</v>
      </c>
      <c r="M191" s="512">
        <v>5726</v>
      </c>
      <c r="N191" s="511" t="s">
        <v>1049</v>
      </c>
      <c r="O191" s="511" t="s">
        <v>1825</v>
      </c>
      <c r="P191" s="512" t="s">
        <v>701</v>
      </c>
      <c r="T191" s="348">
        <v>5671</v>
      </c>
      <c r="U191" s="348" t="s">
        <v>1329</v>
      </c>
      <c r="V191" s="348" t="s">
        <v>1330</v>
      </c>
    </row>
    <row r="192" spans="1:22" ht="12.95" customHeight="1" x14ac:dyDescent="0.2">
      <c r="A192" s="274">
        <v>5217</v>
      </c>
      <c r="B192" s="241" t="str">
        <f t="shared" si="18"/>
        <v>vO</v>
      </c>
      <c r="C192" s="243" t="str">
        <f t="shared" si="19"/>
        <v/>
      </c>
      <c r="D192" s="275" t="s">
        <v>272</v>
      </c>
      <c r="E192" s="214" t="str">
        <f t="shared" si="20"/>
        <v>vO</v>
      </c>
      <c r="F192" s="242">
        <v>5217</v>
      </c>
      <c r="G192" s="274">
        <v>500</v>
      </c>
      <c r="H192" s="241" t="str">
        <f t="shared" si="23"/>
        <v xml:space="preserve">van Ouwerkerk, Ed &amp; Margreet </v>
      </c>
      <c r="I192" s="241" t="s">
        <v>849</v>
      </c>
      <c r="L192" s="351" t="str">
        <f t="shared" si="22"/>
        <v>LAPINSKI</v>
      </c>
      <c r="M192" s="512">
        <v>5567</v>
      </c>
      <c r="N192" s="511" t="s">
        <v>1335</v>
      </c>
      <c r="O192" s="511" t="s">
        <v>706</v>
      </c>
      <c r="P192" s="512" t="s">
        <v>701</v>
      </c>
      <c r="T192" s="348">
        <v>5262</v>
      </c>
      <c r="U192" s="348" t="s">
        <v>1331</v>
      </c>
      <c r="V192" s="348" t="s">
        <v>603</v>
      </c>
    </row>
    <row r="193" spans="1:22" ht="12.95" customHeight="1" x14ac:dyDescent="0.2">
      <c r="A193" s="274">
        <v>5218</v>
      </c>
      <c r="B193" s="241" t="str">
        <f t="shared" si="18"/>
        <v>WC</v>
      </c>
      <c r="C193" s="243" t="str">
        <f t="shared" si="19"/>
        <v/>
      </c>
      <c r="D193" s="275" t="s">
        <v>1620</v>
      </c>
      <c r="E193" s="214" t="str">
        <f t="shared" si="20"/>
        <v>WC</v>
      </c>
      <c r="F193" s="242">
        <v>5218</v>
      </c>
      <c r="G193" s="274">
        <v>500</v>
      </c>
      <c r="H193" s="241" t="str">
        <f t="shared" si="23"/>
        <v xml:space="preserve">Wolf, Charles </v>
      </c>
      <c r="I193" s="241" t="s">
        <v>849</v>
      </c>
      <c r="L193" s="351" t="str">
        <f t="shared" si="22"/>
        <v>&amp; BETH LARSON</v>
      </c>
      <c r="M193" s="512">
        <v>5537</v>
      </c>
      <c r="N193" s="511" t="s">
        <v>1826</v>
      </c>
      <c r="O193" s="511" t="s">
        <v>1336</v>
      </c>
      <c r="P193" s="512" t="s">
        <v>701</v>
      </c>
      <c r="T193" s="348">
        <v>5740</v>
      </c>
      <c r="U193" s="348" t="s">
        <v>1332</v>
      </c>
      <c r="V193" s="348" t="s">
        <v>1058</v>
      </c>
    </row>
    <row r="194" spans="1:22" ht="12.95" customHeight="1" x14ac:dyDescent="0.2">
      <c r="A194" s="274">
        <v>5219</v>
      </c>
      <c r="B194" s="241" t="str">
        <f t="shared" si="18"/>
        <v>MJ</v>
      </c>
      <c r="C194" s="243" t="str">
        <f t="shared" si="19"/>
        <v/>
      </c>
      <c r="D194" s="275" t="s">
        <v>440</v>
      </c>
      <c r="E194" s="214" t="str">
        <f t="shared" si="20"/>
        <v>MJ</v>
      </c>
      <c r="F194" s="242">
        <v>5219</v>
      </c>
      <c r="G194" s="274">
        <v>500</v>
      </c>
      <c r="H194" s="241" t="str">
        <f t="shared" si="23"/>
        <v xml:space="preserve">Mitchell, Jill </v>
      </c>
      <c r="I194" s="241" t="s">
        <v>849</v>
      </c>
      <c r="L194" s="351" t="str">
        <f t="shared" si="22"/>
        <v>LARSON</v>
      </c>
      <c r="M194" s="512">
        <v>5168</v>
      </c>
      <c r="N194" s="511" t="s">
        <v>1827</v>
      </c>
      <c r="O194" s="511" t="s">
        <v>1337</v>
      </c>
      <c r="P194" s="512" t="s">
        <v>701</v>
      </c>
      <c r="T194" s="348">
        <v>5309</v>
      </c>
      <c r="U194" s="348" t="s">
        <v>1333</v>
      </c>
      <c r="V194" s="348" t="s">
        <v>1334</v>
      </c>
    </row>
    <row r="195" spans="1:22" ht="12.95" customHeight="1" x14ac:dyDescent="0.2">
      <c r="A195" s="274">
        <v>5220</v>
      </c>
      <c r="B195" s="241" t="str">
        <f t="shared" si="18"/>
        <v>HR</v>
      </c>
      <c r="C195" s="243" t="str">
        <f t="shared" si="19"/>
        <v/>
      </c>
      <c r="D195" s="275" t="s">
        <v>386</v>
      </c>
      <c r="E195" s="214" t="str">
        <f t="shared" si="20"/>
        <v>HR</v>
      </c>
      <c r="F195" s="242">
        <f>A195</f>
        <v>5220</v>
      </c>
      <c r="G195" s="274">
        <v>500</v>
      </c>
      <c r="H195" s="241" t="str">
        <f t="shared" si="23"/>
        <v xml:space="preserve">Hawes, Randy </v>
      </c>
      <c r="I195" s="241" t="s">
        <v>849</v>
      </c>
      <c r="L195" s="351" t="str">
        <f t="shared" si="22"/>
        <v>&amp; JIM LASCHE</v>
      </c>
      <c r="M195" s="512">
        <v>5312</v>
      </c>
      <c r="N195" s="511" t="s">
        <v>1338</v>
      </c>
      <c r="O195" s="513" t="s">
        <v>1925</v>
      </c>
      <c r="P195" s="512" t="s">
        <v>701</v>
      </c>
      <c r="T195" s="348">
        <v>5726</v>
      </c>
      <c r="U195" s="348" t="s">
        <v>1049</v>
      </c>
      <c r="V195" s="348" t="s">
        <v>1050</v>
      </c>
    </row>
    <row r="196" spans="1:22" ht="12.95" customHeight="1" x14ac:dyDescent="0.2">
      <c r="A196" s="274">
        <v>5221</v>
      </c>
      <c r="B196" s="241" t="str">
        <f t="shared" si="18"/>
        <v>TE</v>
      </c>
      <c r="C196" s="243" t="str">
        <f t="shared" si="19"/>
        <v/>
      </c>
      <c r="D196" s="275" t="s">
        <v>738</v>
      </c>
      <c r="E196" s="214" t="str">
        <f t="shared" si="20"/>
        <v>TE</v>
      </c>
      <c r="F196" s="242">
        <f>A196</f>
        <v>5221</v>
      </c>
      <c r="G196" s="274">
        <v>500</v>
      </c>
      <c r="H196" s="241" t="str">
        <f t="shared" si="23"/>
        <v xml:space="preserve">Thomas, Erv </v>
      </c>
      <c r="I196" s="241" t="s">
        <v>849</v>
      </c>
      <c r="L196" s="351" t="str">
        <f t="shared" si="22"/>
        <v>LASHELLE</v>
      </c>
      <c r="M196" s="512">
        <v>5160</v>
      </c>
      <c r="N196" s="511" t="s">
        <v>1828</v>
      </c>
      <c r="O196" s="511" t="s">
        <v>1829</v>
      </c>
      <c r="P196" s="512" t="s">
        <v>701</v>
      </c>
      <c r="T196" s="348">
        <v>5567</v>
      </c>
      <c r="U196" s="348" t="s">
        <v>1335</v>
      </c>
      <c r="V196" s="348" t="s">
        <v>706</v>
      </c>
    </row>
    <row r="197" spans="1:22" ht="12.95" customHeight="1" x14ac:dyDescent="0.2">
      <c r="A197" s="274">
        <v>5222</v>
      </c>
      <c r="B197" s="241" t="str">
        <f t="shared" si="18"/>
        <v>WB</v>
      </c>
      <c r="C197" s="243" t="str">
        <f t="shared" si="19"/>
        <v/>
      </c>
      <c r="D197" s="275" t="s">
        <v>1599</v>
      </c>
      <c r="E197" s="214" t="str">
        <f t="shared" si="20"/>
        <v>WB</v>
      </c>
      <c r="F197" s="242">
        <f>A197</f>
        <v>5222</v>
      </c>
      <c r="G197" s="274">
        <v>500</v>
      </c>
      <c r="H197" s="241" t="str">
        <f t="shared" si="23"/>
        <v xml:space="preserve">Wilson, Ben &amp; Rachel </v>
      </c>
      <c r="I197" s="241" t="s">
        <v>849</v>
      </c>
      <c r="L197" s="351" t="str">
        <f t="shared" si="22"/>
        <v>LASHER</v>
      </c>
      <c r="M197" s="512">
        <v>5747</v>
      </c>
      <c r="N197" s="511" t="s">
        <v>1340</v>
      </c>
      <c r="O197" s="511" t="s">
        <v>1341</v>
      </c>
      <c r="P197" s="512" t="s">
        <v>701</v>
      </c>
      <c r="T197" s="348">
        <v>5537</v>
      </c>
      <c r="U197" s="348" t="s">
        <v>1467</v>
      </c>
      <c r="V197" s="348" t="s">
        <v>1336</v>
      </c>
    </row>
    <row r="198" spans="1:22" ht="12.95" customHeight="1" x14ac:dyDescent="0.2">
      <c r="A198" s="274">
        <v>5224</v>
      </c>
      <c r="B198" s="241" t="str">
        <f t="shared" si="18"/>
        <v>TC</v>
      </c>
      <c r="C198" s="243" t="str">
        <f t="shared" si="19"/>
        <v/>
      </c>
      <c r="D198" s="275" t="s">
        <v>485</v>
      </c>
      <c r="E198" s="214" t="str">
        <f t="shared" si="20"/>
        <v>TC</v>
      </c>
      <c r="F198" s="242">
        <f>A198</f>
        <v>5224</v>
      </c>
      <c r="G198" s="274">
        <v>500</v>
      </c>
      <c r="H198" s="241" t="str">
        <f t="shared" si="23"/>
        <v xml:space="preserve">Trautman, Connie </v>
      </c>
      <c r="I198" s="241" t="s">
        <v>849</v>
      </c>
      <c r="L198" s="351" t="str">
        <f t="shared" si="22"/>
        <v>JORDAN and REBEKAH</v>
      </c>
      <c r="M198" s="512">
        <v>5649</v>
      </c>
      <c r="N198" s="511" t="s">
        <v>1342</v>
      </c>
      <c r="O198" s="511" t="s">
        <v>1343</v>
      </c>
      <c r="P198" s="512" t="s">
        <v>701</v>
      </c>
      <c r="T198" s="348">
        <v>5168</v>
      </c>
      <c r="U198" s="348" t="s">
        <v>768</v>
      </c>
      <c r="V198" s="348" t="s">
        <v>1337</v>
      </c>
    </row>
    <row r="199" spans="1:22" ht="12.95" customHeight="1" x14ac:dyDescent="0.2">
      <c r="A199" s="274">
        <v>5225</v>
      </c>
      <c r="B199" s="241" t="str">
        <f t="shared" si="18"/>
        <v>CD</v>
      </c>
      <c r="C199" s="243" t="str">
        <f t="shared" si="19"/>
        <v/>
      </c>
      <c r="D199" s="275" t="s">
        <v>203</v>
      </c>
      <c r="E199" s="214" t="str">
        <f t="shared" si="20"/>
        <v>CD</v>
      </c>
      <c r="F199" s="242">
        <v>5226</v>
      </c>
      <c r="G199" s="274">
        <v>500</v>
      </c>
      <c r="H199" s="241" t="str">
        <f t="shared" si="23"/>
        <v xml:space="preserve">Chun, David </v>
      </c>
      <c r="I199" s="241" t="s">
        <v>849</v>
      </c>
      <c r="L199" s="351" t="str">
        <f t="shared" si="22"/>
        <v>LAWECKI</v>
      </c>
      <c r="M199" s="512">
        <v>5449</v>
      </c>
      <c r="N199" s="511" t="s">
        <v>1830</v>
      </c>
      <c r="O199" s="511" t="s">
        <v>871</v>
      </c>
      <c r="P199" s="512" t="s">
        <v>701</v>
      </c>
      <c r="T199" s="348">
        <v>5312</v>
      </c>
      <c r="U199" s="348" t="s">
        <v>1338</v>
      </c>
      <c r="V199" s="348" t="s">
        <v>1339</v>
      </c>
    </row>
    <row r="200" spans="1:22" ht="12.95" customHeight="1" x14ac:dyDescent="0.2">
      <c r="A200" s="274">
        <v>5226</v>
      </c>
      <c r="B200" s="241" t="str">
        <f t="shared" si="18"/>
        <v>VL</v>
      </c>
      <c r="C200" s="243" t="str">
        <f t="shared" si="19"/>
        <v/>
      </c>
      <c r="D200" s="275" t="s">
        <v>1626</v>
      </c>
      <c r="E200" s="214" t="str">
        <f t="shared" si="20"/>
        <v>VL</v>
      </c>
      <c r="F200" s="242">
        <f>A199</f>
        <v>5225</v>
      </c>
      <c r="G200" s="274">
        <v>500</v>
      </c>
      <c r="H200" s="241" t="str">
        <f t="shared" si="23"/>
        <v xml:space="preserve">Voth, Lisa </v>
      </c>
      <c r="I200" s="241" t="s">
        <v>849</v>
      </c>
      <c r="L200" s="351" t="str">
        <f t="shared" si="22"/>
        <v>LEAVISTER</v>
      </c>
      <c r="M200" s="512">
        <v>5492</v>
      </c>
      <c r="N200" s="511" t="s">
        <v>610</v>
      </c>
      <c r="O200" s="511" t="s">
        <v>611</v>
      </c>
      <c r="P200" s="512" t="s">
        <v>701</v>
      </c>
      <c r="T200" s="348">
        <v>5160</v>
      </c>
      <c r="U200" s="348" t="s">
        <v>1109</v>
      </c>
      <c r="V200" s="348" t="s">
        <v>1110</v>
      </c>
    </row>
    <row r="201" spans="1:22" ht="12.95" customHeight="1" x14ac:dyDescent="0.2">
      <c r="A201" s="274">
        <v>5227</v>
      </c>
      <c r="B201" s="241" t="str">
        <f t="shared" si="18"/>
        <v>SJ</v>
      </c>
      <c r="C201" s="243" t="str">
        <f t="shared" si="19"/>
        <v/>
      </c>
      <c r="D201" s="275" t="s">
        <v>483</v>
      </c>
      <c r="E201" s="214" t="str">
        <f t="shared" si="20"/>
        <v>SJ</v>
      </c>
      <c r="F201" s="242">
        <f>A201</f>
        <v>5227</v>
      </c>
      <c r="G201" s="274">
        <v>500</v>
      </c>
      <c r="H201" s="241" t="str">
        <f t="shared" si="23"/>
        <v xml:space="preserve">Stewart, Jerilyn </v>
      </c>
      <c r="I201" s="241" t="s">
        <v>849</v>
      </c>
      <c r="L201" s="351" t="str">
        <f t="shared" si="22"/>
        <v>LEE</v>
      </c>
      <c r="M201" s="512">
        <v>5956</v>
      </c>
      <c r="N201" s="511" t="s">
        <v>1346</v>
      </c>
      <c r="O201" s="511" t="s">
        <v>1831</v>
      </c>
      <c r="P201" s="512" t="s">
        <v>701</v>
      </c>
      <c r="T201" s="348">
        <v>5747</v>
      </c>
      <c r="U201" s="348" t="s">
        <v>1340</v>
      </c>
      <c r="V201" s="348" t="s">
        <v>1341</v>
      </c>
    </row>
    <row r="202" spans="1:22" ht="12.95" customHeight="1" x14ac:dyDescent="0.2">
      <c r="A202" s="274">
        <v>5230</v>
      </c>
      <c r="B202" s="241" t="str">
        <f t="shared" si="18"/>
        <v>CJ</v>
      </c>
      <c r="C202" s="243" t="str">
        <f t="shared" si="19"/>
        <v/>
      </c>
      <c r="D202" s="275" t="s">
        <v>514</v>
      </c>
      <c r="E202" s="214" t="str">
        <f t="shared" si="20"/>
        <v>CJ</v>
      </c>
      <c r="F202" s="242">
        <f>A202</f>
        <v>5230</v>
      </c>
      <c r="G202" s="274">
        <v>500</v>
      </c>
      <c r="H202" s="241" t="str">
        <f t="shared" si="23"/>
        <v xml:space="preserve">Casper, Jason </v>
      </c>
      <c r="I202" s="241" t="s">
        <v>849</v>
      </c>
      <c r="L202" s="351" t="str">
        <f t="shared" si="22"/>
        <v>LEE</v>
      </c>
      <c r="M202" s="512"/>
      <c r="N202" s="511" t="s">
        <v>1348</v>
      </c>
      <c r="O202" s="511" t="s">
        <v>1349</v>
      </c>
      <c r="P202" s="512" t="s">
        <v>701</v>
      </c>
      <c r="T202" s="348">
        <v>5649</v>
      </c>
      <c r="U202" s="348" t="s">
        <v>1342</v>
      </c>
      <c r="V202" s="348" t="s">
        <v>1343</v>
      </c>
    </row>
    <row r="203" spans="1:22" ht="12.95" customHeight="1" x14ac:dyDescent="0.2">
      <c r="A203" s="274">
        <v>5231</v>
      </c>
      <c r="B203" s="241" t="str">
        <f t="shared" si="18"/>
        <v>FV</v>
      </c>
      <c r="C203" s="243" t="str">
        <f t="shared" si="19"/>
        <v/>
      </c>
      <c r="D203" s="275" t="s">
        <v>218</v>
      </c>
      <c r="E203" s="214" t="str">
        <f t="shared" si="20"/>
        <v>FV</v>
      </c>
      <c r="F203" s="242">
        <f>A203</f>
        <v>5231</v>
      </c>
      <c r="G203" s="274">
        <v>500</v>
      </c>
      <c r="H203" s="241" t="str">
        <f t="shared" si="23"/>
        <v xml:space="preserve">Foti, Vicky </v>
      </c>
      <c r="I203" s="241" t="s">
        <v>849</v>
      </c>
      <c r="L203" s="351" t="str">
        <f t="shared" si="22"/>
        <v>LEE PAUL</v>
      </c>
      <c r="M203" s="512">
        <v>5907</v>
      </c>
      <c r="N203" s="511" t="s">
        <v>1352</v>
      </c>
      <c r="O203" s="511" t="s">
        <v>1832</v>
      </c>
      <c r="P203" s="512" t="s">
        <v>701</v>
      </c>
      <c r="T203" s="348" t="s">
        <v>1122</v>
      </c>
      <c r="U203" s="348" t="s">
        <v>1468</v>
      </c>
      <c r="V203" s="348" t="s">
        <v>1469</v>
      </c>
    </row>
    <row r="204" spans="1:22" ht="12.95" customHeight="1" x14ac:dyDescent="0.2">
      <c r="A204" s="274">
        <v>5232</v>
      </c>
      <c r="B204" s="241" t="str">
        <f t="shared" si="18"/>
        <v>GA</v>
      </c>
      <c r="C204" s="243" t="str">
        <f t="shared" si="19"/>
        <v/>
      </c>
      <c r="D204" s="275" t="s">
        <v>685</v>
      </c>
      <c r="E204" s="214" t="str">
        <f t="shared" si="20"/>
        <v>GA</v>
      </c>
      <c r="F204" s="242">
        <v>5235</v>
      </c>
      <c r="G204" s="274">
        <v>500</v>
      </c>
      <c r="H204" s="241" t="str">
        <f t="shared" si="23"/>
        <v xml:space="preserve">Ghimire, Ashok </v>
      </c>
      <c r="I204" s="241" t="s">
        <v>849</v>
      </c>
      <c r="L204" s="351" t="str">
        <f t="shared" si="22"/>
        <v>LEUNG</v>
      </c>
      <c r="M204" s="512">
        <v>5315</v>
      </c>
      <c r="N204" s="511" t="s">
        <v>1354</v>
      </c>
      <c r="O204" s="511" t="s">
        <v>651</v>
      </c>
      <c r="P204" s="512" t="s">
        <v>701</v>
      </c>
      <c r="T204" s="348">
        <v>5449</v>
      </c>
      <c r="U204" s="348" t="s">
        <v>1344</v>
      </c>
      <c r="V204" s="348" t="s">
        <v>1345</v>
      </c>
    </row>
    <row r="205" spans="1:22" ht="12.95" customHeight="1" x14ac:dyDescent="0.2">
      <c r="A205" s="274">
        <v>5235</v>
      </c>
      <c r="B205" s="241" t="str">
        <f t="shared" si="18"/>
        <v>OJ</v>
      </c>
      <c r="C205" s="243" t="str">
        <f t="shared" si="19"/>
        <v/>
      </c>
      <c r="D205" s="275" t="s">
        <v>1603</v>
      </c>
      <c r="E205" s="214" t="str">
        <f t="shared" si="20"/>
        <v>OJ</v>
      </c>
      <c r="F205" s="242">
        <f>A204</f>
        <v>5232</v>
      </c>
      <c r="G205" s="274">
        <v>500</v>
      </c>
      <c r="H205" s="241" t="str">
        <f t="shared" si="23"/>
        <v xml:space="preserve">Olson, Joshua </v>
      </c>
      <c r="I205" s="241" t="s">
        <v>849</v>
      </c>
      <c r="L205" s="351" t="str">
        <f t="shared" si="22"/>
        <v>LEWIS</v>
      </c>
      <c r="M205" s="512">
        <v>3200</v>
      </c>
      <c r="N205" s="511" t="s">
        <v>1833</v>
      </c>
      <c r="O205" s="511" t="s">
        <v>1834</v>
      </c>
      <c r="P205" s="512" t="s">
        <v>701</v>
      </c>
      <c r="T205" s="348">
        <v>5492</v>
      </c>
      <c r="U205" s="348" t="s">
        <v>610</v>
      </c>
      <c r="V205" s="348" t="s">
        <v>611</v>
      </c>
    </row>
    <row r="206" spans="1:22" ht="12.95" customHeight="1" x14ac:dyDescent="0.2">
      <c r="A206" s="274">
        <v>5237</v>
      </c>
      <c r="B206" s="241" t="str">
        <f t="shared" si="18"/>
        <v>vO</v>
      </c>
      <c r="C206" s="243" t="str">
        <f t="shared" si="19"/>
        <v/>
      </c>
      <c r="D206" s="275" t="s">
        <v>487</v>
      </c>
      <c r="E206" s="214" t="str">
        <f t="shared" si="20"/>
        <v>vO</v>
      </c>
      <c r="F206" s="242">
        <f t="shared" ref="F206:F238" si="24">A206</f>
        <v>5237</v>
      </c>
      <c r="G206" s="274">
        <v>500</v>
      </c>
      <c r="H206" s="241" t="str">
        <f t="shared" si="23"/>
        <v xml:space="preserve">van Ouwerkerk Special </v>
      </c>
      <c r="I206" s="241" t="s">
        <v>849</v>
      </c>
      <c r="L206" s="351" t="str">
        <f t="shared" si="22"/>
        <v>LIANG</v>
      </c>
      <c r="M206" s="512"/>
      <c r="N206" s="511" t="s">
        <v>1355</v>
      </c>
      <c r="O206" s="511" t="s">
        <v>1835</v>
      </c>
      <c r="P206" s="512" t="s">
        <v>701</v>
      </c>
      <c r="T206" s="348">
        <v>5956</v>
      </c>
      <c r="U206" s="348" t="s">
        <v>1346</v>
      </c>
      <c r="V206" s="348" t="s">
        <v>1347</v>
      </c>
    </row>
    <row r="207" spans="1:22" ht="12.95" customHeight="1" x14ac:dyDescent="0.2">
      <c r="A207" s="274">
        <v>5238</v>
      </c>
      <c r="B207" s="241" t="str">
        <f t="shared" si="18"/>
        <v>CH</v>
      </c>
      <c r="C207" s="243" t="str">
        <f t="shared" si="19"/>
        <v/>
      </c>
      <c r="D207" s="275" t="s">
        <v>1094</v>
      </c>
      <c r="E207" s="214" t="str">
        <f t="shared" si="20"/>
        <v>CH</v>
      </c>
      <c r="F207" s="242">
        <f t="shared" si="24"/>
        <v>5238</v>
      </c>
      <c r="G207" s="274">
        <v>500</v>
      </c>
      <c r="H207" s="241" t="str">
        <f t="shared" si="23"/>
        <v xml:space="preserve">Casper, Hollie &amp; Jason </v>
      </c>
      <c r="I207" s="241" t="s">
        <v>849</v>
      </c>
      <c r="L207" s="351" t="str">
        <f t="shared" si="22"/>
        <v>LIGHTHALL</v>
      </c>
      <c r="M207" s="512">
        <v>2101</v>
      </c>
      <c r="N207" s="511" t="s">
        <v>580</v>
      </c>
      <c r="O207" s="511" t="s">
        <v>581</v>
      </c>
      <c r="P207" s="512" t="s">
        <v>701</v>
      </c>
      <c r="T207" s="347" t="s">
        <v>1122</v>
      </c>
      <c r="U207" s="347" t="s">
        <v>1348</v>
      </c>
      <c r="V207" s="348" t="s">
        <v>1349</v>
      </c>
    </row>
    <row r="208" spans="1:22" ht="12.95" customHeight="1" x14ac:dyDescent="0.2">
      <c r="A208" s="274">
        <v>5239</v>
      </c>
      <c r="B208" s="241" t="str">
        <f t="shared" si="18"/>
        <v>EG</v>
      </c>
      <c r="C208" s="243" t="str">
        <f t="shared" si="19"/>
        <v/>
      </c>
      <c r="D208" s="275" t="s">
        <v>359</v>
      </c>
      <c r="E208" s="214" t="str">
        <f t="shared" si="20"/>
        <v>EG</v>
      </c>
      <c r="F208" s="242">
        <f t="shared" si="24"/>
        <v>5239</v>
      </c>
      <c r="G208" s="274">
        <v>500</v>
      </c>
      <c r="H208" s="241" t="str">
        <f t="shared" si="23"/>
        <v xml:space="preserve">Ehman, Ginger </v>
      </c>
      <c r="I208" s="241" t="s">
        <v>849</v>
      </c>
      <c r="L208" s="351" t="str">
        <f t="shared" si="22"/>
        <v>LIM</v>
      </c>
      <c r="M208" s="512">
        <v>5398</v>
      </c>
      <c r="N208" s="511" t="s">
        <v>1357</v>
      </c>
      <c r="O208" s="511" t="s">
        <v>537</v>
      </c>
      <c r="P208" s="512" t="s">
        <v>701</v>
      </c>
      <c r="T208" s="348" t="s">
        <v>1122</v>
      </c>
      <c r="U208" s="348" t="s">
        <v>1350</v>
      </c>
      <c r="V208" s="348" t="s">
        <v>1351</v>
      </c>
    </row>
    <row r="209" spans="1:22" ht="12.95" customHeight="1" x14ac:dyDescent="0.2">
      <c r="A209" s="274">
        <v>5240</v>
      </c>
      <c r="B209" s="241" t="str">
        <f t="shared" si="18"/>
        <v>CO</v>
      </c>
      <c r="C209" s="243" t="str">
        <f t="shared" si="19"/>
        <v/>
      </c>
      <c r="D209" s="275" t="s">
        <v>325</v>
      </c>
      <c r="E209" s="214" t="str">
        <f t="shared" si="20"/>
        <v>CO</v>
      </c>
      <c r="F209" s="242">
        <f t="shared" si="24"/>
        <v>5240</v>
      </c>
      <c r="G209" s="274">
        <v>500</v>
      </c>
      <c r="H209" s="241" t="str">
        <f t="shared" si="23"/>
        <v xml:space="preserve">Canada Office </v>
      </c>
      <c r="I209" s="241" t="s">
        <v>849</v>
      </c>
      <c r="L209" s="351" t="str">
        <f t="shared" si="22"/>
        <v>LINDMAN</v>
      </c>
      <c r="M209" s="512">
        <v>5631</v>
      </c>
      <c r="N209" s="511" t="s">
        <v>1836</v>
      </c>
      <c r="O209" s="511" t="s">
        <v>1837</v>
      </c>
      <c r="P209" s="512" t="s">
        <v>701</v>
      </c>
      <c r="T209" s="348">
        <v>5907</v>
      </c>
      <c r="U209" s="348" t="s">
        <v>1352</v>
      </c>
      <c r="V209" s="348" t="s">
        <v>1353</v>
      </c>
    </row>
    <row r="210" spans="1:22" ht="12.95" customHeight="1" x14ac:dyDescent="0.2">
      <c r="A210" s="274">
        <v>5242</v>
      </c>
      <c r="B210" s="241" t="str">
        <f t="shared" si="18"/>
        <v>IP</v>
      </c>
      <c r="C210" s="243" t="str">
        <f t="shared" si="19"/>
        <v/>
      </c>
      <c r="D210" s="275" t="s">
        <v>1594</v>
      </c>
      <c r="E210" s="214" t="str">
        <f t="shared" si="20"/>
        <v>IP</v>
      </c>
      <c r="F210" s="242">
        <f t="shared" si="24"/>
        <v>5242</v>
      </c>
      <c r="G210" s="274">
        <v>500</v>
      </c>
      <c r="H210" s="241" t="str">
        <f t="shared" si="23"/>
        <v xml:space="preserve">India Project </v>
      </c>
      <c r="I210" s="241" t="s">
        <v>848</v>
      </c>
      <c r="L210" s="351" t="str">
        <f t="shared" si="22"/>
        <v>LINDSEY</v>
      </c>
      <c r="M210" s="512">
        <v>5387</v>
      </c>
      <c r="N210" s="511" t="s">
        <v>1360</v>
      </c>
      <c r="O210" s="511" t="s">
        <v>1361</v>
      </c>
      <c r="P210" s="512" t="s">
        <v>701</v>
      </c>
      <c r="T210" s="348">
        <v>5315</v>
      </c>
      <c r="U210" s="348" t="s">
        <v>1354</v>
      </c>
      <c r="V210" s="348" t="s">
        <v>651</v>
      </c>
    </row>
    <row r="211" spans="1:22" ht="12.95" customHeight="1" x14ac:dyDescent="0.2">
      <c r="A211" s="274">
        <v>5243</v>
      </c>
      <c r="B211" s="241" t="str">
        <f t="shared" si="18"/>
        <v>CO</v>
      </c>
      <c r="C211" s="243" t="str">
        <f t="shared" si="19"/>
        <v>Exec</v>
      </c>
      <c r="D211" s="275" t="s">
        <v>904</v>
      </c>
      <c r="E211" s="214" t="str">
        <f t="shared" si="20"/>
        <v>CO</v>
      </c>
      <c r="F211" s="242">
        <f t="shared" si="24"/>
        <v>5243</v>
      </c>
      <c r="G211" s="274">
        <v>300</v>
      </c>
      <c r="H211" s="241" t="str">
        <f t="shared" si="23"/>
        <v xml:space="preserve">Campus Outreach Program </v>
      </c>
      <c r="I211" s="241" t="s">
        <v>846</v>
      </c>
      <c r="L211" s="351" t="str">
        <f t="shared" si="22"/>
        <v>LINDVALL</v>
      </c>
      <c r="M211" s="512">
        <v>5321</v>
      </c>
      <c r="N211" s="511" t="s">
        <v>1029</v>
      </c>
      <c r="O211" s="511" t="s">
        <v>1362</v>
      </c>
      <c r="P211" s="512" t="s">
        <v>701</v>
      </c>
      <c r="T211" s="348" t="s">
        <v>1122</v>
      </c>
      <c r="U211" s="348" t="s">
        <v>1355</v>
      </c>
      <c r="V211" s="348" t="s">
        <v>1356</v>
      </c>
    </row>
    <row r="212" spans="1:22" ht="12.95" customHeight="1" x14ac:dyDescent="0.2">
      <c r="A212" s="274">
        <v>5244</v>
      </c>
      <c r="B212" s="241" t="str">
        <f t="shared" si="18"/>
        <v>LA</v>
      </c>
      <c r="C212" s="243" t="str">
        <f t="shared" si="19"/>
        <v>Exec</v>
      </c>
      <c r="D212" s="275" t="s">
        <v>897</v>
      </c>
      <c r="E212" s="214" t="str">
        <f t="shared" si="20"/>
        <v>LA</v>
      </c>
      <c r="F212" s="242">
        <f t="shared" si="24"/>
        <v>5244</v>
      </c>
      <c r="G212" s="274">
        <v>200</v>
      </c>
      <c r="H212" s="241" t="str">
        <f t="shared" si="23"/>
        <v xml:space="preserve">Level A Strategic Ministry Initiatives </v>
      </c>
      <c r="I212" s="241" t="s">
        <v>846</v>
      </c>
      <c r="L212" s="351" t="str">
        <f t="shared" si="22"/>
        <v>Linskey</v>
      </c>
      <c r="M212" s="512"/>
      <c r="N212" s="511" t="s">
        <v>1838</v>
      </c>
      <c r="O212" s="511" t="s">
        <v>1839</v>
      </c>
      <c r="P212" s="512" t="s">
        <v>701</v>
      </c>
      <c r="T212" s="348">
        <v>2101</v>
      </c>
      <c r="U212" s="348" t="s">
        <v>580</v>
      </c>
      <c r="V212" s="348" t="s">
        <v>581</v>
      </c>
    </row>
    <row r="213" spans="1:22" ht="12.95" customHeight="1" x14ac:dyDescent="0.2">
      <c r="A213" s="274">
        <v>5245</v>
      </c>
      <c r="B213" s="241" t="str">
        <f t="shared" si="18"/>
        <v>A(</v>
      </c>
      <c r="C213" s="243" t="str">
        <f t="shared" si="19"/>
        <v>Exec</v>
      </c>
      <c r="D213" s="275" t="s">
        <v>896</v>
      </c>
      <c r="E213" s="214" t="str">
        <f t="shared" si="20"/>
        <v>A(</v>
      </c>
      <c r="F213" s="242">
        <f t="shared" si="24"/>
        <v>5245</v>
      </c>
      <c r="G213" s="264">
        <v>300</v>
      </c>
      <c r="H213" s="241" t="str">
        <f t="shared" si="23"/>
        <v xml:space="preserve">Affil/Assoc </v>
      </c>
      <c r="I213" s="241" t="s">
        <v>846</v>
      </c>
      <c r="L213" s="351" t="str">
        <f t="shared" si="22"/>
        <v>LIVINGSTON</v>
      </c>
      <c r="M213" s="512">
        <v>5260</v>
      </c>
      <c r="N213" s="511" t="s">
        <v>591</v>
      </c>
      <c r="O213" s="511" t="s">
        <v>872</v>
      </c>
      <c r="P213" s="512" t="s">
        <v>701</v>
      </c>
      <c r="T213" s="348">
        <v>5398</v>
      </c>
      <c r="U213" s="348" t="s">
        <v>1357</v>
      </c>
      <c r="V213" s="348" t="s">
        <v>537</v>
      </c>
    </row>
    <row r="214" spans="1:22" ht="12.95" customHeight="1" x14ac:dyDescent="0.2">
      <c r="A214" s="274">
        <v>5249</v>
      </c>
      <c r="B214" s="241" t="str">
        <f t="shared" si="18"/>
        <v>Da</v>
      </c>
      <c r="C214" s="243" t="str">
        <f t="shared" si="19"/>
        <v>Exec</v>
      </c>
      <c r="D214" s="275" t="s">
        <v>903</v>
      </c>
      <c r="E214" s="214" t="str">
        <f t="shared" si="20"/>
        <v>Da</v>
      </c>
      <c r="F214" s="242">
        <f t="shared" si="24"/>
        <v>5249</v>
      </c>
      <c r="G214" s="264">
        <v>300</v>
      </c>
      <c r="H214" s="241" t="str">
        <f t="shared" si="23"/>
        <v xml:space="preserve">Development and Mobilization </v>
      </c>
      <c r="I214" s="241" t="s">
        <v>846</v>
      </c>
      <c r="L214" s="351" t="str">
        <f t="shared" si="22"/>
        <v>AND TOSHIKO LOCKWOOD</v>
      </c>
      <c r="M214" s="512">
        <v>5411</v>
      </c>
      <c r="N214" s="511" t="s">
        <v>1364</v>
      </c>
      <c r="O214" s="511" t="s">
        <v>783</v>
      </c>
      <c r="P214" s="512" t="s">
        <v>701</v>
      </c>
      <c r="T214" s="348" t="s">
        <v>1122</v>
      </c>
      <c r="U214" s="348" t="s">
        <v>1358</v>
      </c>
      <c r="V214" s="348" t="s">
        <v>1359</v>
      </c>
    </row>
    <row r="215" spans="1:22" ht="12.95" customHeight="1" x14ac:dyDescent="0.2">
      <c r="A215" s="274">
        <v>5250</v>
      </c>
      <c r="B215" s="241" t="str">
        <f t="shared" si="18"/>
        <v>Ot</v>
      </c>
      <c r="C215" s="243" t="str">
        <f t="shared" si="19"/>
        <v>Shaw, Tovar</v>
      </c>
      <c r="D215" s="265" t="s">
        <v>1737</v>
      </c>
      <c r="E215" s="214" t="str">
        <f t="shared" si="20"/>
        <v>Ot</v>
      </c>
      <c r="F215" s="242">
        <f t="shared" si="24"/>
        <v>5250</v>
      </c>
      <c r="G215" s="264">
        <v>200</v>
      </c>
      <c r="H215" s="241" t="str">
        <f t="shared" si="23"/>
        <v xml:space="preserve">Outreach to Intl </v>
      </c>
      <c r="I215" s="241" t="s">
        <v>846</v>
      </c>
      <c r="L215" s="351" t="str">
        <f t="shared" si="22"/>
        <v>LOH</v>
      </c>
      <c r="M215" s="512">
        <v>5442</v>
      </c>
      <c r="N215" s="511" t="s">
        <v>1365</v>
      </c>
      <c r="O215" s="511" t="s">
        <v>586</v>
      </c>
      <c r="P215" s="512" t="s">
        <v>701</v>
      </c>
      <c r="T215" s="348">
        <v>5387</v>
      </c>
      <c r="U215" s="348" t="s">
        <v>1360</v>
      </c>
      <c r="V215" s="348" t="s">
        <v>1361</v>
      </c>
    </row>
    <row r="216" spans="1:22" ht="12.95" customHeight="1" x14ac:dyDescent="0.2">
      <c r="A216" s="274">
        <v>5250</v>
      </c>
      <c r="B216" s="241" t="str">
        <f t="shared" si="18"/>
        <v>Ot</v>
      </c>
      <c r="C216" s="243" t="str">
        <f t="shared" si="19"/>
        <v>Shaw, Tovar</v>
      </c>
      <c r="D216" s="275" t="s">
        <v>1737</v>
      </c>
      <c r="E216" s="214" t="str">
        <f t="shared" si="20"/>
        <v>Ot</v>
      </c>
      <c r="F216" s="242">
        <f t="shared" si="24"/>
        <v>5250</v>
      </c>
      <c r="G216" s="264">
        <v>100</v>
      </c>
      <c r="H216" s="241" t="str">
        <f t="shared" si="23"/>
        <v xml:space="preserve">Outreach to Intl </v>
      </c>
      <c r="I216" s="241" t="s">
        <v>846</v>
      </c>
      <c r="L216" s="351" t="str">
        <f t="shared" si="22"/>
        <v>AND KAREN LYNIP</v>
      </c>
      <c r="M216" s="512"/>
      <c r="N216" s="511" t="s">
        <v>1366</v>
      </c>
      <c r="O216" s="511" t="s">
        <v>1367</v>
      </c>
      <c r="P216" s="512" t="s">
        <v>701</v>
      </c>
      <c r="T216" s="348">
        <v>5321</v>
      </c>
      <c r="U216" s="348" t="s">
        <v>1029</v>
      </c>
      <c r="V216" s="348" t="s">
        <v>1362</v>
      </c>
    </row>
    <row r="217" spans="1:22" ht="12.95" customHeight="1" x14ac:dyDescent="0.2">
      <c r="A217" s="274">
        <v>5255</v>
      </c>
      <c r="B217" s="241" t="str">
        <f t="shared" si="18"/>
        <v>AD</v>
      </c>
      <c r="C217" s="243" t="str">
        <f t="shared" si="19"/>
        <v>Exec</v>
      </c>
      <c r="D217" s="275" t="s">
        <v>898</v>
      </c>
      <c r="E217" s="214" t="str">
        <f t="shared" si="20"/>
        <v>AD</v>
      </c>
      <c r="F217" s="242">
        <f t="shared" si="24"/>
        <v>5255</v>
      </c>
      <c r="G217" s="264">
        <v>100</v>
      </c>
      <c r="H217" s="241" t="str">
        <f t="shared" si="23"/>
        <v xml:space="preserve">Allocated Distribution Fund </v>
      </c>
      <c r="I217" s="241" t="s">
        <v>846</v>
      </c>
      <c r="L217" s="351" t="str">
        <f t="shared" si="22"/>
        <v>KIEN &amp; ELIZABETH MAC</v>
      </c>
      <c r="M217" s="512">
        <v>5185</v>
      </c>
      <c r="N217" s="511" t="s">
        <v>1840</v>
      </c>
      <c r="O217" s="511" t="s">
        <v>1841</v>
      </c>
      <c r="P217" s="512" t="s">
        <v>701</v>
      </c>
      <c r="T217" s="348">
        <v>5260</v>
      </c>
      <c r="U217" s="348" t="s">
        <v>591</v>
      </c>
      <c r="V217" s="348" t="s">
        <v>1363</v>
      </c>
    </row>
    <row r="218" spans="1:22" ht="12.95" customHeight="1" x14ac:dyDescent="0.2">
      <c r="A218" s="274">
        <v>5256</v>
      </c>
      <c r="B218" s="241" t="str">
        <f t="shared" si="18"/>
        <v>EO</v>
      </c>
      <c r="C218" s="243" t="str">
        <f t="shared" si="19"/>
        <v>Exec</v>
      </c>
      <c r="D218" s="275" t="s">
        <v>899</v>
      </c>
      <c r="E218" s="214" t="str">
        <f t="shared" si="20"/>
        <v>EO</v>
      </c>
      <c r="F218" s="242">
        <f t="shared" si="24"/>
        <v>5256</v>
      </c>
      <c r="G218" s="264">
        <v>300</v>
      </c>
      <c r="H218" s="241" t="str">
        <f t="shared" si="23"/>
        <v xml:space="preserve">Evangelistic Outreach Events </v>
      </c>
      <c r="I218" s="241" t="s">
        <v>846</v>
      </c>
      <c r="L218" s="351" t="str">
        <f t="shared" si="22"/>
        <v>MAHMOUDI</v>
      </c>
      <c r="M218" s="512">
        <v>5707</v>
      </c>
      <c r="N218" s="511" t="s">
        <v>1370</v>
      </c>
      <c r="O218" s="511" t="s">
        <v>1842</v>
      </c>
      <c r="P218" s="512" t="s">
        <v>701</v>
      </c>
      <c r="T218" s="348">
        <v>5411</v>
      </c>
      <c r="U218" s="348" t="s">
        <v>1364</v>
      </c>
      <c r="V218" s="348" t="s">
        <v>783</v>
      </c>
    </row>
    <row r="219" spans="1:22" ht="12.95" customHeight="1" x14ac:dyDescent="0.2">
      <c r="A219" s="274">
        <v>5258</v>
      </c>
      <c r="B219" s="241" t="str">
        <f t="shared" si="18"/>
        <v>CP</v>
      </c>
      <c r="C219" s="243" t="str">
        <f t="shared" si="19"/>
        <v>Exec</v>
      </c>
      <c r="D219" s="275" t="s">
        <v>900</v>
      </c>
      <c r="E219" s="214" t="str">
        <f t="shared" si="20"/>
        <v>CP</v>
      </c>
      <c r="F219" s="242">
        <f t="shared" si="24"/>
        <v>5258</v>
      </c>
      <c r="G219" s="264">
        <v>200</v>
      </c>
      <c r="H219" s="241" t="str">
        <f t="shared" si="23"/>
        <v xml:space="preserve">CMI Phase 6 </v>
      </c>
      <c r="I219" s="241" t="s">
        <v>846</v>
      </c>
      <c r="L219" s="351" t="str">
        <f t="shared" si="22"/>
        <v>AND CATHY MAKIN</v>
      </c>
      <c r="M219" s="512">
        <v>5643</v>
      </c>
      <c r="N219" s="511" t="s">
        <v>1372</v>
      </c>
      <c r="O219" s="511" t="s">
        <v>1373</v>
      </c>
      <c r="P219" s="512" t="s">
        <v>701</v>
      </c>
      <c r="T219" s="348">
        <v>5442</v>
      </c>
      <c r="U219" s="348" t="s">
        <v>1365</v>
      </c>
      <c r="V219" s="348" t="s">
        <v>586</v>
      </c>
    </row>
    <row r="220" spans="1:22" ht="12.95" customHeight="1" x14ac:dyDescent="0.2">
      <c r="A220" s="274">
        <v>5259</v>
      </c>
      <c r="B220" s="241" t="str">
        <f t="shared" si="18"/>
        <v>EC</v>
      </c>
      <c r="C220" s="243" t="str">
        <f t="shared" si="19"/>
        <v>Exec</v>
      </c>
      <c r="D220" s="275" t="s">
        <v>901</v>
      </c>
      <c r="E220" s="214" t="str">
        <f t="shared" si="20"/>
        <v>EC</v>
      </c>
      <c r="F220" s="242">
        <f t="shared" si="24"/>
        <v>5259</v>
      </c>
      <c r="G220" s="264">
        <v>200</v>
      </c>
      <c r="H220" s="241" t="str">
        <f t="shared" si="23"/>
        <v xml:space="preserve">Expanding Church Mobilization </v>
      </c>
      <c r="I220" s="241" t="s">
        <v>846</v>
      </c>
      <c r="L220" s="351" t="str">
        <f t="shared" si="22"/>
        <v>MAMMADOV</v>
      </c>
      <c r="M220" s="512">
        <v>5536</v>
      </c>
      <c r="N220" s="511" t="s">
        <v>1474</v>
      </c>
      <c r="O220" s="511" t="s">
        <v>1843</v>
      </c>
      <c r="P220" s="512" t="s">
        <v>701</v>
      </c>
      <c r="T220" s="348" t="s">
        <v>1122</v>
      </c>
      <c r="U220" s="348" t="s">
        <v>1470</v>
      </c>
      <c r="V220" s="348" t="s">
        <v>1471</v>
      </c>
    </row>
    <row r="221" spans="1:22" ht="12.95" customHeight="1" x14ac:dyDescent="0.2">
      <c r="A221" s="274">
        <v>5260</v>
      </c>
      <c r="B221" s="241" t="str">
        <f t="shared" si="18"/>
        <v>LJ</v>
      </c>
      <c r="C221" s="243" t="str">
        <f t="shared" si="19"/>
        <v/>
      </c>
      <c r="D221" s="275" t="s">
        <v>423</v>
      </c>
      <c r="E221" s="214" t="str">
        <f t="shared" si="20"/>
        <v>LJ</v>
      </c>
      <c r="F221" s="242">
        <f t="shared" si="24"/>
        <v>5260</v>
      </c>
      <c r="G221" s="274">
        <v>500</v>
      </c>
      <c r="H221" s="241" t="str">
        <f t="shared" si="23"/>
        <v xml:space="preserve">Livingston, John </v>
      </c>
      <c r="I221" s="241" t="s">
        <v>849</v>
      </c>
      <c r="L221" s="351" t="str">
        <f t="shared" si="22"/>
        <v>&amp; MIRIAM MANEEVONE</v>
      </c>
      <c r="M221" s="512">
        <v>5701</v>
      </c>
      <c r="N221" s="511" t="s">
        <v>1475</v>
      </c>
      <c r="O221" s="511" t="s">
        <v>1375</v>
      </c>
      <c r="P221" s="512" t="s">
        <v>701</v>
      </c>
      <c r="T221" s="348" t="s">
        <v>1122</v>
      </c>
      <c r="U221" s="348" t="s">
        <v>1366</v>
      </c>
      <c r="V221" s="348" t="s">
        <v>1367</v>
      </c>
    </row>
    <row r="222" spans="1:22" ht="12.95" customHeight="1" x14ac:dyDescent="0.2">
      <c r="A222" s="274">
        <v>5261</v>
      </c>
      <c r="B222" s="241" t="str">
        <f t="shared" ref="B222:B289" si="25">E222</f>
        <v>LS</v>
      </c>
      <c r="C222" s="243" t="str">
        <f t="shared" ref="C222:C289" si="26">IFERROR(MID(D222,SEARCH("{",D222,1)+1,SEARCH("}",D222,1)-SEARCH("{",D222,1)-1),"")</f>
        <v/>
      </c>
      <c r="D222" s="275" t="s">
        <v>422</v>
      </c>
      <c r="E222" s="214" t="str">
        <f t="shared" ref="E222:E289" si="27">LEFT(D222,1)&amp;MID(D222,SEARCH(" ",D222,1)+1,1)</f>
        <v>LS</v>
      </c>
      <c r="F222" s="242">
        <f t="shared" si="24"/>
        <v>5261</v>
      </c>
      <c r="G222" s="264">
        <v>500</v>
      </c>
      <c r="H222" s="241" t="str">
        <f t="shared" si="23"/>
        <v xml:space="preserve">Livingston Special </v>
      </c>
      <c r="I222" s="241" t="s">
        <v>848</v>
      </c>
      <c r="L222" s="351" t="str">
        <f t="shared" si="22"/>
        <v>MANNON</v>
      </c>
      <c r="M222" s="512">
        <v>5353</v>
      </c>
      <c r="N222" s="511" t="s">
        <v>1376</v>
      </c>
      <c r="O222" s="511" t="s">
        <v>543</v>
      </c>
      <c r="P222" s="512" t="s">
        <v>701</v>
      </c>
      <c r="T222" s="348">
        <v>5185</v>
      </c>
      <c r="U222" s="348" t="s">
        <v>1582</v>
      </c>
      <c r="V222" s="348" t="s">
        <v>1583</v>
      </c>
    </row>
    <row r="223" spans="1:22" ht="12.95" customHeight="1" x14ac:dyDescent="0.2">
      <c r="A223" s="274">
        <v>5262</v>
      </c>
      <c r="B223" s="241" t="str">
        <f t="shared" si="25"/>
        <v>LK</v>
      </c>
      <c r="C223" s="243" t="str">
        <f t="shared" si="26"/>
        <v/>
      </c>
      <c r="D223" s="275" t="s">
        <v>413</v>
      </c>
      <c r="E223" s="214" t="str">
        <f t="shared" si="27"/>
        <v>LK</v>
      </c>
      <c r="F223" s="242">
        <f t="shared" si="24"/>
        <v>5262</v>
      </c>
      <c r="G223" s="264">
        <v>500</v>
      </c>
      <c r="H223" s="241" t="str">
        <f t="shared" si="23"/>
        <v xml:space="preserve">Lahti, Kristen </v>
      </c>
      <c r="I223" s="241" t="s">
        <v>849</v>
      </c>
      <c r="L223" s="351" t="str">
        <f t="shared" si="22"/>
        <v>MANTA</v>
      </c>
      <c r="M223" s="512">
        <v>5453</v>
      </c>
      <c r="N223" s="511" t="s">
        <v>1377</v>
      </c>
      <c r="O223" s="511" t="s">
        <v>873</v>
      </c>
      <c r="P223" s="512" t="s">
        <v>701</v>
      </c>
      <c r="T223" s="348" t="s">
        <v>1122</v>
      </c>
      <c r="U223" s="348" t="s">
        <v>1472</v>
      </c>
      <c r="V223" s="348" t="s">
        <v>1473</v>
      </c>
    </row>
    <row r="224" spans="1:22" ht="12.95" customHeight="1" x14ac:dyDescent="0.2">
      <c r="A224" s="274">
        <v>5263</v>
      </c>
      <c r="B224" s="241" t="str">
        <f t="shared" si="25"/>
        <v>HH</v>
      </c>
      <c r="C224" s="243" t="str">
        <f t="shared" si="26"/>
        <v/>
      </c>
      <c r="D224" s="275" t="s">
        <v>379</v>
      </c>
      <c r="E224" s="214" t="str">
        <f t="shared" si="27"/>
        <v>HH</v>
      </c>
      <c r="F224" s="242">
        <f t="shared" si="24"/>
        <v>5263</v>
      </c>
      <c r="G224" s="264">
        <v>500</v>
      </c>
      <c r="H224" s="241" t="str">
        <f t="shared" si="23"/>
        <v xml:space="preserve">Hakes, Hannah </v>
      </c>
      <c r="I224" s="241" t="s">
        <v>849</v>
      </c>
      <c r="L224" s="351" t="str">
        <f t="shared" si="22"/>
        <v>MARQUEZ</v>
      </c>
      <c r="M224" s="512">
        <v>5155</v>
      </c>
      <c r="N224" s="511" t="s">
        <v>1378</v>
      </c>
      <c r="O224" s="511" t="s">
        <v>597</v>
      </c>
      <c r="P224" s="512" t="s">
        <v>701</v>
      </c>
      <c r="T224" s="348">
        <v>3100</v>
      </c>
      <c r="U224" s="348" t="s">
        <v>1368</v>
      </c>
      <c r="V224" s="348" t="s">
        <v>1369</v>
      </c>
    </row>
    <row r="225" spans="1:22" ht="12.95" customHeight="1" x14ac:dyDescent="0.2">
      <c r="A225" s="274">
        <v>5265</v>
      </c>
      <c r="B225" s="241" t="str">
        <f t="shared" si="25"/>
        <v>JV</v>
      </c>
      <c r="C225" s="243" t="str">
        <f t="shared" si="26"/>
        <v>Exec</v>
      </c>
      <c r="D225" s="275" t="s">
        <v>902</v>
      </c>
      <c r="E225" s="214" t="str">
        <f t="shared" si="27"/>
        <v>JV</v>
      </c>
      <c r="F225" s="242">
        <f t="shared" si="24"/>
        <v>5265</v>
      </c>
      <c r="G225" s="264">
        <v>500</v>
      </c>
      <c r="H225" s="241" t="str">
        <f t="shared" si="23"/>
        <v xml:space="preserve">Jesus Video Project </v>
      </c>
      <c r="I225" s="241" t="s">
        <v>846</v>
      </c>
      <c r="L225" s="351" t="str">
        <f t="shared" si="22"/>
        <v>AND JUDY MARSHALL</v>
      </c>
      <c r="M225" s="512">
        <v>5774</v>
      </c>
      <c r="N225" s="511" t="s">
        <v>1379</v>
      </c>
      <c r="O225" s="511" t="s">
        <v>1380</v>
      </c>
      <c r="P225" s="512" t="s">
        <v>701</v>
      </c>
      <c r="T225" s="348">
        <v>5707</v>
      </c>
      <c r="U225" s="348" t="s">
        <v>1370</v>
      </c>
      <c r="V225" s="348" t="s">
        <v>1371</v>
      </c>
    </row>
    <row r="226" spans="1:22" ht="12.95" customHeight="1" x14ac:dyDescent="0.2">
      <c r="A226" s="274">
        <v>5266</v>
      </c>
      <c r="B226" s="241" t="str">
        <f t="shared" si="25"/>
        <v>MT</v>
      </c>
      <c r="C226" s="243" t="str">
        <f t="shared" si="26"/>
        <v>Shaw, Tovar</v>
      </c>
      <c r="D226" s="275" t="s">
        <v>1738</v>
      </c>
      <c r="E226" s="214" t="str">
        <f t="shared" si="27"/>
        <v>MT</v>
      </c>
      <c r="F226" s="242">
        <f t="shared" si="24"/>
        <v>5266</v>
      </c>
      <c r="G226" s="264">
        <v>200</v>
      </c>
      <c r="H226" s="241" t="str">
        <f t="shared" si="23"/>
        <v xml:space="preserve">More Than a Carpenter </v>
      </c>
      <c r="I226" s="241" t="s">
        <v>846</v>
      </c>
      <c r="L226" s="351" t="str">
        <f t="shared" si="22"/>
        <v>MARTIN</v>
      </c>
      <c r="M226" s="512">
        <v>2500</v>
      </c>
      <c r="N226" s="511" t="s">
        <v>1844</v>
      </c>
      <c r="O226" s="511" t="s">
        <v>1845</v>
      </c>
      <c r="P226" s="512" t="s">
        <v>701</v>
      </c>
      <c r="T226" s="348">
        <v>5643</v>
      </c>
      <c r="U226" s="348" t="s">
        <v>1372</v>
      </c>
      <c r="V226" s="348" t="s">
        <v>1373</v>
      </c>
    </row>
    <row r="227" spans="1:22" ht="12.95" customHeight="1" x14ac:dyDescent="0.2">
      <c r="A227" s="274">
        <v>5268</v>
      </c>
      <c r="B227" s="241" t="str">
        <f t="shared" si="25"/>
        <v>WM</v>
      </c>
      <c r="C227" s="243" t="str">
        <f t="shared" si="26"/>
        <v>Exec</v>
      </c>
      <c r="D227" s="275" t="s">
        <v>905</v>
      </c>
      <c r="E227" s="214" t="str">
        <f t="shared" si="27"/>
        <v>WM</v>
      </c>
      <c r="F227" s="242">
        <f t="shared" si="24"/>
        <v>5268</v>
      </c>
      <c r="G227" s="264">
        <v>200</v>
      </c>
      <c r="H227" s="241" t="str">
        <f t="shared" si="23"/>
        <v xml:space="preserve">Web Marketing Project </v>
      </c>
      <c r="I227" s="241" t="s">
        <v>846</v>
      </c>
      <c r="L227" s="351" t="str">
        <f t="shared" si="22"/>
        <v>MASIH</v>
      </c>
      <c r="M227" s="512" t="s">
        <v>1381</v>
      </c>
      <c r="N227" s="511" t="s">
        <v>1382</v>
      </c>
      <c r="O227" s="511" t="s">
        <v>1846</v>
      </c>
      <c r="P227" s="512" t="s">
        <v>701</v>
      </c>
      <c r="T227" s="348">
        <v>5536</v>
      </c>
      <c r="U227" s="348" t="s">
        <v>1474</v>
      </c>
      <c r="V227" s="348" t="s">
        <v>1374</v>
      </c>
    </row>
    <row r="228" spans="1:22" ht="12.95" customHeight="1" x14ac:dyDescent="0.2">
      <c r="A228" s="274">
        <v>5269</v>
      </c>
      <c r="B228" s="241" t="str">
        <f t="shared" si="25"/>
        <v>PN</v>
      </c>
      <c r="C228" s="243" t="str">
        <f t="shared" si="26"/>
        <v>Shaw, Tovar</v>
      </c>
      <c r="D228" s="275" t="s">
        <v>1739</v>
      </c>
      <c r="E228" s="214" t="str">
        <f t="shared" si="27"/>
        <v>PN</v>
      </c>
      <c r="F228" s="242">
        <f t="shared" si="24"/>
        <v>5269</v>
      </c>
      <c r="G228" s="274">
        <v>300</v>
      </c>
      <c r="H228" s="241" t="str">
        <f t="shared" si="23"/>
        <v xml:space="preserve">Pacific Northwest </v>
      </c>
      <c r="I228" s="241" t="s">
        <v>848</v>
      </c>
      <c r="L228" s="351" t="str">
        <f t="shared" si="22"/>
        <v>&amp; KATHY MATHENY</v>
      </c>
      <c r="M228" s="512">
        <v>5636</v>
      </c>
      <c r="N228" s="511" t="s">
        <v>1476</v>
      </c>
      <c r="O228" s="511" t="s">
        <v>1847</v>
      </c>
      <c r="P228" s="512" t="s">
        <v>701</v>
      </c>
      <c r="T228" s="348">
        <v>5701</v>
      </c>
      <c r="U228" s="348" t="s">
        <v>1475</v>
      </c>
      <c r="V228" s="348" t="s">
        <v>1375</v>
      </c>
    </row>
    <row r="229" spans="1:22" ht="12.95" customHeight="1" x14ac:dyDescent="0.2">
      <c r="A229" s="274">
        <v>5270</v>
      </c>
      <c r="B229" s="241" t="str">
        <f t="shared" si="25"/>
        <v>DD</v>
      </c>
      <c r="C229" s="243" t="str">
        <f t="shared" si="26"/>
        <v>Exec</v>
      </c>
      <c r="D229" s="275" t="s">
        <v>906</v>
      </c>
      <c r="E229" s="214" t="str">
        <f t="shared" si="27"/>
        <v>DD</v>
      </c>
      <c r="F229" s="242">
        <f t="shared" si="24"/>
        <v>5270</v>
      </c>
      <c r="G229" s="264">
        <v>200</v>
      </c>
      <c r="H229" s="241" t="str">
        <f t="shared" si="23"/>
        <v xml:space="preserve">Dev Director Ops Exp </v>
      </c>
      <c r="I229" s="241" t="s">
        <v>846</v>
      </c>
      <c r="L229" s="351" t="str">
        <f t="shared" si="22"/>
        <v>MATHEW</v>
      </c>
      <c r="M229" s="512">
        <v>5146</v>
      </c>
      <c r="N229" s="511" t="s">
        <v>1477</v>
      </c>
      <c r="O229" s="511" t="s">
        <v>1848</v>
      </c>
      <c r="P229" s="512" t="s">
        <v>701</v>
      </c>
      <c r="T229" s="348">
        <v>5353</v>
      </c>
      <c r="U229" s="348" t="s">
        <v>1376</v>
      </c>
      <c r="V229" s="348" t="s">
        <v>543</v>
      </c>
    </row>
    <row r="230" spans="1:22" ht="12.95" customHeight="1" x14ac:dyDescent="0.2">
      <c r="A230" s="274">
        <v>5271</v>
      </c>
      <c r="B230" s="241" t="str">
        <f t="shared" si="25"/>
        <v>DS</v>
      </c>
      <c r="C230" s="243" t="str">
        <f t="shared" si="26"/>
        <v/>
      </c>
      <c r="D230" s="275" t="s">
        <v>214</v>
      </c>
      <c r="E230" s="214" t="str">
        <f t="shared" si="27"/>
        <v>DS</v>
      </c>
      <c r="F230" s="242">
        <f t="shared" si="24"/>
        <v>5271</v>
      </c>
      <c r="G230" s="264">
        <v>500</v>
      </c>
      <c r="H230" s="241" t="str">
        <f t="shared" si="23"/>
        <v xml:space="preserve">Dunne Special </v>
      </c>
      <c r="I230" s="241" t="s">
        <v>848</v>
      </c>
      <c r="L230" s="351" t="str">
        <f t="shared" ref="L230:L295" si="28">RIGHT(O230,LEN(O230)-SEARCH(" ",O230,1))</f>
        <v>MCDOWELL</v>
      </c>
      <c r="M230" s="512">
        <v>2600</v>
      </c>
      <c r="N230" s="511" t="s">
        <v>1849</v>
      </c>
      <c r="O230" s="511" t="s">
        <v>1850</v>
      </c>
      <c r="P230" s="512" t="s">
        <v>701</v>
      </c>
      <c r="T230" s="348">
        <v>5453</v>
      </c>
      <c r="U230" s="348" t="s">
        <v>1377</v>
      </c>
      <c r="V230" s="348" t="s">
        <v>873</v>
      </c>
    </row>
    <row r="231" spans="1:22" ht="12.95" customHeight="1" x14ac:dyDescent="0.2">
      <c r="A231" s="274">
        <v>5273</v>
      </c>
      <c r="B231" s="241" t="str">
        <f t="shared" si="25"/>
        <v>CF</v>
      </c>
      <c r="C231" s="243" t="str">
        <f t="shared" si="26"/>
        <v>Exec</v>
      </c>
      <c r="D231" s="275" t="s">
        <v>907</v>
      </c>
      <c r="E231" s="214" t="str">
        <f t="shared" si="27"/>
        <v>CF</v>
      </c>
      <c r="F231" s="242">
        <f t="shared" si="24"/>
        <v>5273</v>
      </c>
      <c r="G231" s="264">
        <v>500</v>
      </c>
      <c r="H231" s="241" t="str">
        <f t="shared" si="23"/>
        <v xml:space="preserve">CFM Film Distribution/Parnership </v>
      </c>
      <c r="I231" s="241" t="s">
        <v>846</v>
      </c>
      <c r="L231" s="351" t="str">
        <f t="shared" si="28"/>
        <v>MCFARLAND</v>
      </c>
      <c r="M231" s="512">
        <v>5667</v>
      </c>
      <c r="N231" s="511" t="s">
        <v>1851</v>
      </c>
      <c r="O231" s="511" t="s">
        <v>1852</v>
      </c>
      <c r="P231" s="512" t="s">
        <v>701</v>
      </c>
      <c r="T231" s="348">
        <v>5155</v>
      </c>
      <c r="U231" s="348" t="s">
        <v>1378</v>
      </c>
      <c r="V231" s="348" t="s">
        <v>597</v>
      </c>
    </row>
    <row r="232" spans="1:22" ht="12.95" customHeight="1" x14ac:dyDescent="0.2">
      <c r="A232" s="274">
        <v>5275</v>
      </c>
      <c r="B232" s="241" t="str">
        <f t="shared" si="25"/>
        <v>TI</v>
      </c>
      <c r="C232" s="243" t="str">
        <f t="shared" si="26"/>
        <v>Exec</v>
      </c>
      <c r="D232" s="275" t="s">
        <v>908</v>
      </c>
      <c r="E232" s="214" t="str">
        <f t="shared" si="27"/>
        <v>TI</v>
      </c>
      <c r="F232" s="242">
        <f t="shared" si="24"/>
        <v>5275</v>
      </c>
      <c r="G232" s="264">
        <v>200</v>
      </c>
      <c r="H232" s="241" t="str">
        <f t="shared" si="23"/>
        <v xml:space="preserve">Training Initiatives </v>
      </c>
      <c r="I232" s="241" t="s">
        <v>846</v>
      </c>
      <c r="L232" s="351" t="str">
        <f t="shared" si="28"/>
        <v>MCKAIN</v>
      </c>
      <c r="M232" s="510">
        <v>5314</v>
      </c>
      <c r="N232" s="511" t="s">
        <v>1385</v>
      </c>
      <c r="O232" s="511" t="s">
        <v>630</v>
      </c>
      <c r="P232" s="512" t="s">
        <v>701</v>
      </c>
      <c r="T232" s="348">
        <v>5774</v>
      </c>
      <c r="U232" s="348" t="s">
        <v>1379</v>
      </c>
      <c r="V232" s="348" t="s">
        <v>1380</v>
      </c>
    </row>
    <row r="233" spans="1:22" ht="12.95" customHeight="1" x14ac:dyDescent="0.2">
      <c r="A233" s="274">
        <v>5276</v>
      </c>
      <c r="B233" s="241" t="str">
        <f t="shared" si="25"/>
        <v>MI</v>
      </c>
      <c r="C233" s="243" t="str">
        <f t="shared" si="26"/>
        <v>Exec</v>
      </c>
      <c r="D233" s="275" t="s">
        <v>909</v>
      </c>
      <c r="E233" s="214" t="str">
        <f t="shared" si="27"/>
        <v>MI</v>
      </c>
      <c r="F233" s="242">
        <f t="shared" si="24"/>
        <v>5276</v>
      </c>
      <c r="G233" s="264">
        <v>200</v>
      </c>
      <c r="H233" s="241" t="str">
        <f t="shared" si="23"/>
        <v xml:space="preserve">M28 Initiatives </v>
      </c>
      <c r="I233" s="241" t="s">
        <v>846</v>
      </c>
      <c r="L233" s="351" t="str">
        <f t="shared" si="28"/>
        <v>MEADE</v>
      </c>
      <c r="M233" s="512"/>
      <c r="N233" s="511" t="s">
        <v>1386</v>
      </c>
      <c r="O233" s="511" t="s">
        <v>1387</v>
      </c>
      <c r="P233" s="512" t="s">
        <v>701</v>
      </c>
      <c r="T233" s="348" t="s">
        <v>1381</v>
      </c>
      <c r="U233" s="348" t="s">
        <v>1382</v>
      </c>
      <c r="V233" s="348" t="s">
        <v>1383</v>
      </c>
    </row>
    <row r="234" spans="1:22" ht="12.95" customHeight="1" x14ac:dyDescent="0.2">
      <c r="A234" s="274">
        <v>5278</v>
      </c>
      <c r="B234" s="241" t="str">
        <f t="shared" si="25"/>
        <v>HS</v>
      </c>
      <c r="C234" s="243" t="str">
        <f t="shared" si="26"/>
        <v>Exec</v>
      </c>
      <c r="D234" s="275" t="s">
        <v>910</v>
      </c>
      <c r="E234" s="214" t="str">
        <f t="shared" si="27"/>
        <v>HS</v>
      </c>
      <c r="F234" s="242">
        <f t="shared" si="24"/>
        <v>5278</v>
      </c>
      <c r="G234" s="264">
        <v>200</v>
      </c>
      <c r="H234" s="241" t="str">
        <f t="shared" si="23"/>
        <v xml:space="preserve">Hindu Student Outreach Initiative </v>
      </c>
      <c r="I234" s="241" t="s">
        <v>846</v>
      </c>
      <c r="L234" s="351" t="str">
        <f t="shared" si="28"/>
        <v>MENGE</v>
      </c>
      <c r="M234" s="512">
        <v>5737</v>
      </c>
      <c r="N234" s="511" t="s">
        <v>1088</v>
      </c>
      <c r="O234" s="511" t="s">
        <v>1853</v>
      </c>
      <c r="P234" s="512" t="s">
        <v>701</v>
      </c>
      <c r="T234" s="348">
        <v>5636</v>
      </c>
      <c r="U234" s="348" t="s">
        <v>1476</v>
      </c>
      <c r="V234" s="348" t="s">
        <v>1384</v>
      </c>
    </row>
    <row r="235" spans="1:22" ht="12.95" customHeight="1" x14ac:dyDescent="0.2">
      <c r="A235" s="274">
        <v>5280</v>
      </c>
      <c r="B235" s="241" t="str">
        <f t="shared" si="25"/>
        <v>MA</v>
      </c>
      <c r="C235" s="243" t="str">
        <f t="shared" si="26"/>
        <v>Exec</v>
      </c>
      <c r="D235" s="275" t="s">
        <v>911</v>
      </c>
      <c r="E235" s="214" t="str">
        <f t="shared" si="27"/>
        <v>MA</v>
      </c>
      <c r="F235" s="242">
        <f t="shared" si="24"/>
        <v>5280</v>
      </c>
      <c r="G235" s="264">
        <v>200</v>
      </c>
      <c r="H235" s="241" t="str">
        <f t="shared" si="23"/>
        <v xml:space="preserve">Mission America Rec </v>
      </c>
      <c r="I235" s="241" t="s">
        <v>846</v>
      </c>
      <c r="L235" s="351" t="str">
        <f t="shared" si="28"/>
        <v>MEULI</v>
      </c>
      <c r="M235" s="512">
        <v>3300</v>
      </c>
      <c r="N235" s="511" t="s">
        <v>1388</v>
      </c>
      <c r="O235" s="511" t="s">
        <v>582</v>
      </c>
      <c r="P235" s="512" t="s">
        <v>701</v>
      </c>
      <c r="T235" s="348">
        <v>5146</v>
      </c>
      <c r="U235" s="348" t="s">
        <v>1477</v>
      </c>
      <c r="V235" s="348" t="s">
        <v>1108</v>
      </c>
    </row>
    <row r="236" spans="1:22" ht="12.95" customHeight="1" x14ac:dyDescent="0.2">
      <c r="A236" s="274">
        <v>5281</v>
      </c>
      <c r="B236" s="241" t="str">
        <f t="shared" si="25"/>
        <v>P(</v>
      </c>
      <c r="C236" s="243" t="str">
        <f t="shared" si="26"/>
        <v>Shaw, Tovar</v>
      </c>
      <c r="D236" s="275" t="s">
        <v>1740</v>
      </c>
      <c r="E236" s="214" t="str">
        <f t="shared" si="27"/>
        <v>P(</v>
      </c>
      <c r="F236" s="242">
        <f t="shared" si="24"/>
        <v>5281</v>
      </c>
      <c r="G236" s="264">
        <v>200</v>
      </c>
      <c r="H236" s="241" t="str">
        <f t="shared" si="23"/>
        <v xml:space="preserve">Personalysis </v>
      </c>
      <c r="I236" s="241" t="s">
        <v>846</v>
      </c>
      <c r="L236" s="351" t="str">
        <f t="shared" si="28"/>
        <v>MILLER</v>
      </c>
      <c r="M236" s="512">
        <v>3200</v>
      </c>
      <c r="N236" s="511" t="s">
        <v>1389</v>
      </c>
      <c r="O236" s="511" t="s">
        <v>1390</v>
      </c>
      <c r="P236" s="512" t="s">
        <v>701</v>
      </c>
      <c r="T236" s="348">
        <v>5314</v>
      </c>
      <c r="U236" s="348" t="s">
        <v>1385</v>
      </c>
      <c r="V236" s="348" t="s">
        <v>630</v>
      </c>
    </row>
    <row r="237" spans="1:22" ht="12.95" customHeight="1" x14ac:dyDescent="0.2">
      <c r="A237" s="274">
        <v>5282</v>
      </c>
      <c r="B237" s="241" t="str">
        <f t="shared" si="25"/>
        <v>TL</v>
      </c>
      <c r="C237" s="243" t="str">
        <f t="shared" si="26"/>
        <v>Exec</v>
      </c>
      <c r="D237" s="275" t="s">
        <v>912</v>
      </c>
      <c r="E237" s="214" t="str">
        <f t="shared" si="27"/>
        <v>TL</v>
      </c>
      <c r="F237" s="242">
        <f t="shared" si="24"/>
        <v>5282</v>
      </c>
      <c r="G237" s="264">
        <v>500</v>
      </c>
      <c r="H237" s="241" t="str">
        <f t="shared" ref="H237:H303" si="29">LEFT(D237,SEARCH("(",D237,1)-1)</f>
        <v xml:space="preserve">TRUE Leadership Retreats </v>
      </c>
      <c r="I237" s="241" t="s">
        <v>846</v>
      </c>
      <c r="L237" s="351" t="str">
        <f t="shared" si="28"/>
        <v>&amp; RON MILLER</v>
      </c>
      <c r="M237" s="512">
        <v>5465</v>
      </c>
      <c r="N237" s="511" t="s">
        <v>1854</v>
      </c>
      <c r="O237" s="511" t="s">
        <v>1391</v>
      </c>
      <c r="P237" s="512" t="s">
        <v>701</v>
      </c>
      <c r="T237" s="348" t="s">
        <v>1122</v>
      </c>
      <c r="U237" s="348" t="s">
        <v>1386</v>
      </c>
      <c r="V237" s="348" t="s">
        <v>1387</v>
      </c>
    </row>
    <row r="238" spans="1:22" ht="12.95" customHeight="1" x14ac:dyDescent="0.2">
      <c r="A238" s="274">
        <v>5284</v>
      </c>
      <c r="B238" s="241" t="str">
        <f t="shared" si="25"/>
        <v>Oa</v>
      </c>
      <c r="C238" s="243" t="str">
        <f t="shared" si="26"/>
        <v>Exec</v>
      </c>
      <c r="D238" s="275" t="s">
        <v>913</v>
      </c>
      <c r="E238" s="214" t="str">
        <f t="shared" si="27"/>
        <v>Oa</v>
      </c>
      <c r="F238" s="242">
        <f t="shared" si="24"/>
        <v>5284</v>
      </c>
      <c r="G238" s="264">
        <v>200</v>
      </c>
      <c r="H238" s="241" t="e">
        <f t="shared" si="29"/>
        <v>#VALUE!</v>
      </c>
      <c r="I238" s="241" t="s">
        <v>846</v>
      </c>
      <c r="L238" s="351" t="str">
        <f t="shared" si="28"/>
        <v>MILLER</v>
      </c>
      <c r="M238" s="512">
        <v>2600</v>
      </c>
      <c r="N238" s="511" t="s">
        <v>1478</v>
      </c>
      <c r="O238" s="511" t="s">
        <v>631</v>
      </c>
      <c r="P238" s="512" t="s">
        <v>701</v>
      </c>
      <c r="T238" s="348">
        <v>5737</v>
      </c>
      <c r="U238" s="348" t="s">
        <v>1088</v>
      </c>
      <c r="V238" s="348" t="s">
        <v>1089</v>
      </c>
    </row>
    <row r="239" spans="1:22" ht="12.95" customHeight="1" x14ac:dyDescent="0.2">
      <c r="A239" s="274">
        <v>5288</v>
      </c>
      <c r="B239" s="241" t="str">
        <f t="shared" si="25"/>
        <v>P2</v>
      </c>
      <c r="C239" s="243" t="str">
        <f t="shared" si="26"/>
        <v>Shaw, Tovar</v>
      </c>
      <c r="D239" s="275" t="s">
        <v>1741</v>
      </c>
      <c r="E239" s="214" t="str">
        <f t="shared" si="27"/>
        <v>P2</v>
      </c>
      <c r="F239" s="242">
        <f t="shared" ref="F239:F256" si="30">A239</f>
        <v>5288</v>
      </c>
      <c r="G239" s="264">
        <v>300</v>
      </c>
      <c r="H239" s="241" t="str">
        <f t="shared" si="29"/>
        <v xml:space="preserve">Phase 2 Video Proj </v>
      </c>
      <c r="I239" s="241" t="s">
        <v>846</v>
      </c>
      <c r="L239" s="351" t="str">
        <f t="shared" si="28"/>
        <v>MILLS</v>
      </c>
      <c r="M239" s="512">
        <v>5638</v>
      </c>
      <c r="N239" s="511" t="s">
        <v>1480</v>
      </c>
      <c r="O239" s="511" t="s">
        <v>1855</v>
      </c>
      <c r="P239" s="512" t="s">
        <v>701</v>
      </c>
      <c r="T239" s="348">
        <v>3300</v>
      </c>
      <c r="U239" s="348" t="s">
        <v>1388</v>
      </c>
      <c r="V239" s="348" t="s">
        <v>582</v>
      </c>
    </row>
    <row r="240" spans="1:22" ht="12.95" customHeight="1" x14ac:dyDescent="0.2">
      <c r="A240" s="274">
        <v>5290</v>
      </c>
      <c r="B240" s="241" t="str">
        <f t="shared" si="25"/>
        <v>CM</v>
      </c>
      <c r="C240" s="243" t="str">
        <f t="shared" si="26"/>
        <v>Exec</v>
      </c>
      <c r="D240" s="275" t="s">
        <v>914</v>
      </c>
      <c r="E240" s="214" t="str">
        <f t="shared" si="27"/>
        <v>CM</v>
      </c>
      <c r="F240" s="242">
        <f t="shared" si="30"/>
        <v>5290</v>
      </c>
      <c r="G240" s="264">
        <v>300</v>
      </c>
      <c r="H240" s="241" t="str">
        <f t="shared" si="29"/>
        <v xml:space="preserve">CSF Muslim &amp; Chinese Consultation </v>
      </c>
      <c r="I240" s="241" t="s">
        <v>846</v>
      </c>
      <c r="L240" s="351" t="str">
        <f t="shared" si="28"/>
        <v>&amp; BETH MILLS</v>
      </c>
      <c r="M240" s="512">
        <v>5751</v>
      </c>
      <c r="N240" s="511" t="s">
        <v>1856</v>
      </c>
      <c r="O240" s="511" t="s">
        <v>1857</v>
      </c>
      <c r="P240" s="512" t="s">
        <v>701</v>
      </c>
      <c r="T240" s="348">
        <v>3200</v>
      </c>
      <c r="U240" s="348" t="s">
        <v>1389</v>
      </c>
      <c r="V240" s="348" t="s">
        <v>1390</v>
      </c>
    </row>
    <row r="241" spans="1:22" ht="12.95" customHeight="1" x14ac:dyDescent="0.2">
      <c r="A241" s="274">
        <v>5291</v>
      </c>
      <c r="B241" s="241" t="str">
        <f t="shared" si="25"/>
        <v>CH</v>
      </c>
      <c r="C241" s="243" t="str">
        <f t="shared" si="26"/>
        <v>Exec</v>
      </c>
      <c r="D241" s="275" t="s">
        <v>916</v>
      </c>
      <c r="E241" s="214" t="str">
        <f t="shared" si="27"/>
        <v>CH</v>
      </c>
      <c r="F241" s="242">
        <f t="shared" si="30"/>
        <v>5291</v>
      </c>
      <c r="G241" s="264">
        <v>300</v>
      </c>
      <c r="H241" s="241" t="str">
        <f t="shared" si="29"/>
        <v xml:space="preserve">CSF Hindu Consultation Mtrl Dist. </v>
      </c>
      <c r="I241" s="241" t="s">
        <v>846</v>
      </c>
      <c r="L241" s="351" t="str">
        <f t="shared" si="28"/>
        <v>OR MIKE MITCHELL</v>
      </c>
      <c r="M241" s="512">
        <v>5219</v>
      </c>
      <c r="N241" s="511" t="s">
        <v>1482</v>
      </c>
      <c r="O241" s="511" t="s">
        <v>1394</v>
      </c>
      <c r="P241" s="512" t="s">
        <v>701</v>
      </c>
      <c r="T241" s="348">
        <v>2600</v>
      </c>
      <c r="U241" s="348" t="s">
        <v>1478</v>
      </c>
      <c r="V241" s="348" t="s">
        <v>631</v>
      </c>
    </row>
    <row r="242" spans="1:22" ht="12.95" customHeight="1" x14ac:dyDescent="0.2">
      <c r="A242" s="274">
        <v>5293</v>
      </c>
      <c r="B242" s="241" t="str">
        <f t="shared" si="25"/>
        <v>CI</v>
      </c>
      <c r="C242" s="243" t="str">
        <f t="shared" si="26"/>
        <v>Exec</v>
      </c>
      <c r="D242" s="275" t="s">
        <v>915</v>
      </c>
      <c r="E242" s="214" t="str">
        <f t="shared" si="27"/>
        <v>CI</v>
      </c>
      <c r="F242" s="242">
        <f t="shared" si="30"/>
        <v>5293</v>
      </c>
      <c r="G242" s="264">
        <v>300</v>
      </c>
      <c r="H242" s="241" t="str">
        <f t="shared" si="29"/>
        <v xml:space="preserve">China Initiative - CT </v>
      </c>
      <c r="I242" s="241" t="s">
        <v>846</v>
      </c>
      <c r="L242" s="351" t="str">
        <f t="shared" si="28"/>
        <v>MOSHER</v>
      </c>
      <c r="M242" s="512">
        <v>5482</v>
      </c>
      <c r="N242" s="511" t="s">
        <v>1483</v>
      </c>
      <c r="O242" s="511" t="s">
        <v>530</v>
      </c>
      <c r="P242" s="512" t="s">
        <v>701</v>
      </c>
      <c r="T242" s="348">
        <v>5465</v>
      </c>
      <c r="U242" s="348" t="s">
        <v>1479</v>
      </c>
      <c r="V242" s="348" t="s">
        <v>1391</v>
      </c>
    </row>
    <row r="243" spans="1:22" ht="12.95" customHeight="1" x14ac:dyDescent="0.2">
      <c r="A243" s="274">
        <v>5295</v>
      </c>
      <c r="B243" s="241" t="str">
        <f t="shared" si="25"/>
        <v>SI</v>
      </c>
      <c r="C243" s="243" t="str">
        <f t="shared" si="26"/>
        <v>Exec</v>
      </c>
      <c r="D243" s="275" t="s">
        <v>917</v>
      </c>
      <c r="E243" s="214" t="str">
        <f t="shared" si="27"/>
        <v>SI</v>
      </c>
      <c r="F243" s="242">
        <f t="shared" si="30"/>
        <v>5295</v>
      </c>
      <c r="G243" s="264">
        <v>300</v>
      </c>
      <c r="H243" s="241" t="str">
        <f t="shared" si="29"/>
        <v xml:space="preserve">Singapore Initiative </v>
      </c>
      <c r="I243" s="241" t="s">
        <v>846</v>
      </c>
      <c r="L243" s="351" t="str">
        <f t="shared" si="28"/>
        <v>MOTE</v>
      </c>
      <c r="M243" s="512">
        <v>3100</v>
      </c>
      <c r="N243" s="511" t="s">
        <v>1858</v>
      </c>
      <c r="O243" s="511" t="s">
        <v>1859</v>
      </c>
      <c r="P243" s="512" t="s">
        <v>701</v>
      </c>
      <c r="T243" s="348">
        <v>5638</v>
      </c>
      <c r="U243" s="348" t="s">
        <v>1480</v>
      </c>
      <c r="V243" s="348" t="s">
        <v>1392</v>
      </c>
    </row>
    <row r="244" spans="1:22" ht="12.95" customHeight="1" x14ac:dyDescent="0.2">
      <c r="A244" s="274">
        <v>5296</v>
      </c>
      <c r="B244" s="241" t="str">
        <f t="shared" si="25"/>
        <v>CR</v>
      </c>
      <c r="C244" s="243" t="str">
        <f t="shared" si="26"/>
        <v>Exec</v>
      </c>
      <c r="D244" s="275" t="s">
        <v>918</v>
      </c>
      <c r="E244" s="214" t="str">
        <f t="shared" si="27"/>
        <v>CR</v>
      </c>
      <c r="F244" s="242">
        <f t="shared" si="30"/>
        <v>5296</v>
      </c>
      <c r="G244" s="264">
        <v>300</v>
      </c>
      <c r="H244" s="241" t="str">
        <f t="shared" si="29"/>
        <v xml:space="preserve">CSF Returnee Handbook - New Horizons </v>
      </c>
      <c r="I244" s="241" t="s">
        <v>846</v>
      </c>
      <c r="L244" s="351" t="str">
        <f t="shared" si="28"/>
        <v>MOYNIHAN</v>
      </c>
      <c r="M244" s="512">
        <v>5728</v>
      </c>
      <c r="N244" s="511" t="s">
        <v>1484</v>
      </c>
      <c r="O244" s="511" t="s">
        <v>1860</v>
      </c>
      <c r="P244" s="512" t="s">
        <v>701</v>
      </c>
      <c r="T244" s="348">
        <v>5751</v>
      </c>
      <c r="U244" s="348" t="s">
        <v>1481</v>
      </c>
      <c r="V244" s="348" t="s">
        <v>1393</v>
      </c>
    </row>
    <row r="245" spans="1:22" ht="12.95" customHeight="1" x14ac:dyDescent="0.2">
      <c r="A245" s="274">
        <v>5298</v>
      </c>
      <c r="B245" s="241" t="str">
        <f t="shared" si="25"/>
        <v>IS</v>
      </c>
      <c r="C245" s="243" t="str">
        <f t="shared" si="26"/>
        <v>Shaw, Tovar</v>
      </c>
      <c r="D245" s="275" t="s">
        <v>1742</v>
      </c>
      <c r="E245" s="214" t="str">
        <f t="shared" si="27"/>
        <v>IS</v>
      </c>
      <c r="F245" s="242">
        <f t="shared" si="30"/>
        <v>5298</v>
      </c>
      <c r="G245" s="264">
        <v>300</v>
      </c>
      <c r="H245" s="241" t="str">
        <f t="shared" si="29"/>
        <v xml:space="preserve">Int'l Student Bible Study </v>
      </c>
      <c r="I245" s="241" t="s">
        <v>846</v>
      </c>
      <c r="L245" s="351" t="str">
        <f t="shared" si="28"/>
        <v>MULL</v>
      </c>
      <c r="M245" s="512">
        <v>5480</v>
      </c>
      <c r="N245" s="511" t="s">
        <v>1485</v>
      </c>
      <c r="O245" s="511" t="s">
        <v>874</v>
      </c>
      <c r="P245" s="512" t="s">
        <v>701</v>
      </c>
      <c r="T245" s="348">
        <v>5219</v>
      </c>
      <c r="U245" s="348" t="s">
        <v>1482</v>
      </c>
      <c r="V245" s="348" t="s">
        <v>1394</v>
      </c>
    </row>
    <row r="246" spans="1:22" ht="12.95" customHeight="1" x14ac:dyDescent="0.2">
      <c r="A246" s="274">
        <v>5299</v>
      </c>
      <c r="B246" s="241" t="str">
        <f t="shared" si="25"/>
        <v>AZ</v>
      </c>
      <c r="C246" s="243" t="str">
        <f t="shared" si="26"/>
        <v>Exec</v>
      </c>
      <c r="D246" s="275" t="s">
        <v>919</v>
      </c>
      <c r="E246" s="214" t="str">
        <f t="shared" si="27"/>
        <v>AZ</v>
      </c>
      <c r="F246" s="242">
        <f t="shared" si="30"/>
        <v>5299</v>
      </c>
      <c r="G246" s="264">
        <v>300</v>
      </c>
      <c r="H246" s="241" t="str">
        <f t="shared" si="29"/>
        <v xml:space="preserve">Australia/New Zealand Initiatives </v>
      </c>
      <c r="I246" s="241" t="s">
        <v>846</v>
      </c>
      <c r="L246" s="351" t="str">
        <f t="shared" si="28"/>
        <v>&amp; ELISE MURCHISON</v>
      </c>
      <c r="M246" s="512">
        <v>5436</v>
      </c>
      <c r="N246" s="511" t="s">
        <v>609</v>
      </c>
      <c r="O246" s="511" t="s">
        <v>1861</v>
      </c>
      <c r="P246" s="512" t="s">
        <v>701</v>
      </c>
      <c r="T246" s="348">
        <v>5482</v>
      </c>
      <c r="U246" s="348" t="s">
        <v>1483</v>
      </c>
      <c r="V246" s="348" t="s">
        <v>530</v>
      </c>
    </row>
    <row r="247" spans="1:22" ht="12.95" customHeight="1" x14ac:dyDescent="0.2">
      <c r="A247" s="274">
        <v>5300</v>
      </c>
      <c r="B247" s="241" t="str">
        <f t="shared" si="25"/>
        <v>MS</v>
      </c>
      <c r="C247" s="243" t="str">
        <f t="shared" si="26"/>
        <v>Exec</v>
      </c>
      <c r="D247" s="275" t="s">
        <v>920</v>
      </c>
      <c r="E247" s="214" t="str">
        <f t="shared" si="27"/>
        <v>MS</v>
      </c>
      <c r="F247" s="242">
        <f t="shared" si="30"/>
        <v>5300</v>
      </c>
      <c r="G247" s="264">
        <v>300</v>
      </c>
      <c r="H247" s="241" t="str">
        <f t="shared" si="29"/>
        <v xml:space="preserve">Muslim Student Dialogue </v>
      </c>
      <c r="I247" s="241" t="s">
        <v>846</v>
      </c>
      <c r="L247" s="351" t="str">
        <f t="shared" si="28"/>
        <v>NELSON</v>
      </c>
      <c r="M247" s="512">
        <v>5311</v>
      </c>
      <c r="N247" s="511" t="s">
        <v>1486</v>
      </c>
      <c r="O247" s="511" t="s">
        <v>575</v>
      </c>
      <c r="P247" s="512" t="s">
        <v>701</v>
      </c>
      <c r="T247" s="347">
        <v>5728</v>
      </c>
      <c r="U247" s="347" t="s">
        <v>1484</v>
      </c>
      <c r="V247" s="348" t="s">
        <v>1051</v>
      </c>
    </row>
    <row r="248" spans="1:22" ht="12.95" customHeight="1" x14ac:dyDescent="0.2">
      <c r="A248" s="274">
        <v>5301</v>
      </c>
      <c r="B248" s="241" t="str">
        <f t="shared" si="25"/>
        <v>MD</v>
      </c>
      <c r="C248" s="243" t="str">
        <f t="shared" si="26"/>
        <v>Exec</v>
      </c>
      <c r="D248" s="275" t="s">
        <v>921</v>
      </c>
      <c r="E248" s="214" t="str">
        <f t="shared" si="27"/>
        <v>MD</v>
      </c>
      <c r="F248" s="242">
        <f t="shared" si="30"/>
        <v>5301</v>
      </c>
      <c r="G248" s="264">
        <v>300</v>
      </c>
      <c r="H248" s="241" t="str">
        <f t="shared" si="29"/>
        <v xml:space="preserve">Major Donor Events </v>
      </c>
      <c r="I248" s="241" t="s">
        <v>846</v>
      </c>
      <c r="L248" s="351" t="str">
        <f t="shared" si="28"/>
        <v>&amp; JACQUELINE NEWBRANDER</v>
      </c>
      <c r="M248" s="512">
        <v>5427</v>
      </c>
      <c r="N248" s="511" t="s">
        <v>1489</v>
      </c>
      <c r="O248" s="511" t="s">
        <v>1396</v>
      </c>
      <c r="P248" s="512" t="s">
        <v>701</v>
      </c>
      <c r="T248" s="348">
        <v>5480</v>
      </c>
      <c r="U248" s="348" t="s">
        <v>1485</v>
      </c>
      <c r="V248" s="348" t="s">
        <v>874</v>
      </c>
    </row>
    <row r="249" spans="1:22" ht="12.95" customHeight="1" x14ac:dyDescent="0.2">
      <c r="A249" s="274">
        <v>5302</v>
      </c>
      <c r="B249" s="241" t="str">
        <f t="shared" si="25"/>
        <v>CJ</v>
      </c>
      <c r="C249" s="243" t="str">
        <f t="shared" si="26"/>
        <v/>
      </c>
      <c r="D249" s="275" t="s">
        <v>819</v>
      </c>
      <c r="E249" s="214" t="str">
        <f t="shared" si="27"/>
        <v>CJ</v>
      </c>
      <c r="F249" s="242">
        <f t="shared" si="30"/>
        <v>5302</v>
      </c>
      <c r="G249" s="264">
        <v>500</v>
      </c>
      <c r="H249" s="241" t="str">
        <f t="shared" si="29"/>
        <v xml:space="preserve">Carlson, Joel </v>
      </c>
      <c r="I249" s="241" t="s">
        <v>849</v>
      </c>
      <c r="L249" s="351" t="str">
        <f t="shared" si="28"/>
        <v>NEWPHER</v>
      </c>
      <c r="M249" s="512">
        <v>5428</v>
      </c>
      <c r="N249" s="511" t="s">
        <v>1490</v>
      </c>
      <c r="O249" s="511" t="s">
        <v>577</v>
      </c>
      <c r="P249" s="512" t="s">
        <v>701</v>
      </c>
      <c r="T249" s="348">
        <v>5436</v>
      </c>
      <c r="U249" s="348" t="s">
        <v>609</v>
      </c>
      <c r="V249" s="348" t="s">
        <v>1395</v>
      </c>
    </row>
    <row r="250" spans="1:22" ht="12.95" customHeight="1" x14ac:dyDescent="0.2">
      <c r="A250" s="274">
        <v>5303</v>
      </c>
      <c r="B250" s="241" t="str">
        <f t="shared" si="25"/>
        <v>SI</v>
      </c>
      <c r="C250" s="243" t="str">
        <f t="shared" si="26"/>
        <v>Exec</v>
      </c>
      <c r="D250" s="275" t="s">
        <v>923</v>
      </c>
      <c r="E250" s="214" t="str">
        <f t="shared" si="27"/>
        <v>SI</v>
      </c>
      <c r="F250" s="242">
        <f t="shared" si="30"/>
        <v>5303</v>
      </c>
      <c r="G250" s="274">
        <v>500</v>
      </c>
      <c r="H250" s="241" t="str">
        <f t="shared" si="29"/>
        <v xml:space="preserve">Strat Internet Plan </v>
      </c>
      <c r="I250" s="241" t="s">
        <v>846</v>
      </c>
      <c r="L250" s="351" t="str">
        <f t="shared" si="28"/>
        <v>BOON-KHAI</v>
      </c>
      <c r="M250" s="512">
        <v>5183</v>
      </c>
      <c r="N250" s="511" t="s">
        <v>1491</v>
      </c>
      <c r="O250" s="511" t="s">
        <v>618</v>
      </c>
      <c r="P250" s="512" t="s">
        <v>701</v>
      </c>
      <c r="T250" s="348">
        <v>5311</v>
      </c>
      <c r="U250" s="348" t="s">
        <v>1486</v>
      </c>
      <c r="V250" s="348" t="s">
        <v>575</v>
      </c>
    </row>
    <row r="251" spans="1:22" ht="12.95" customHeight="1" x14ac:dyDescent="0.2">
      <c r="A251" s="274">
        <v>5305</v>
      </c>
      <c r="B251" s="241" t="str">
        <f t="shared" si="25"/>
        <v>CI</v>
      </c>
      <c r="C251" s="243" t="str">
        <f t="shared" si="26"/>
        <v>Exec</v>
      </c>
      <c r="D251" s="275" t="s">
        <v>922</v>
      </c>
      <c r="E251" s="214" t="str">
        <f t="shared" si="27"/>
        <v>CI</v>
      </c>
      <c r="F251" s="242">
        <f t="shared" si="30"/>
        <v>5305</v>
      </c>
      <c r="G251" s="264">
        <v>200</v>
      </c>
      <c r="H251" s="241" t="str">
        <f t="shared" si="29"/>
        <v xml:space="preserve">China Initiatives </v>
      </c>
      <c r="I251" s="241" t="s">
        <v>846</v>
      </c>
      <c r="L251" s="351" t="str">
        <f t="shared" si="28"/>
        <v>NG</v>
      </c>
      <c r="M251" s="512">
        <v>5821</v>
      </c>
      <c r="N251" s="511" t="s">
        <v>1492</v>
      </c>
      <c r="O251" s="511" t="s">
        <v>1862</v>
      </c>
      <c r="P251" s="512" t="s">
        <v>701</v>
      </c>
      <c r="T251" s="348" t="s">
        <v>1122</v>
      </c>
      <c r="U251" s="348" t="s">
        <v>1487</v>
      </c>
      <c r="V251" s="348" t="s">
        <v>1488</v>
      </c>
    </row>
    <row r="252" spans="1:22" ht="12.95" customHeight="1" x14ac:dyDescent="0.2">
      <c r="A252" s="274">
        <v>5306</v>
      </c>
      <c r="B252" s="241" t="str">
        <f t="shared" si="25"/>
        <v>HK</v>
      </c>
      <c r="C252" s="243" t="str">
        <f t="shared" si="26"/>
        <v>Exec</v>
      </c>
      <c r="D252" s="275" t="s">
        <v>924</v>
      </c>
      <c r="E252" s="214" t="str">
        <f t="shared" si="27"/>
        <v>HK</v>
      </c>
      <c r="F252" s="242">
        <f t="shared" si="30"/>
        <v>5306</v>
      </c>
      <c r="G252" s="264">
        <v>200</v>
      </c>
      <c r="H252" s="241" t="str">
        <f t="shared" si="29"/>
        <v xml:space="preserve">Hong Kong Incorporation </v>
      </c>
      <c r="I252" s="241" t="s">
        <v>846</v>
      </c>
      <c r="L252" s="351" t="str">
        <f t="shared" si="28"/>
        <v>and MARYBETH NORDTVEDT</v>
      </c>
      <c r="M252" s="512">
        <v>5393</v>
      </c>
      <c r="N252" s="511" t="s">
        <v>1495</v>
      </c>
      <c r="O252" s="511" t="s">
        <v>1398</v>
      </c>
      <c r="P252" s="512" t="s">
        <v>701</v>
      </c>
      <c r="T252" s="348">
        <v>5427</v>
      </c>
      <c r="U252" s="348" t="s">
        <v>1489</v>
      </c>
      <c r="V252" s="348" t="s">
        <v>1396</v>
      </c>
    </row>
    <row r="253" spans="1:22" ht="12.95" customHeight="1" x14ac:dyDescent="0.2">
      <c r="A253" s="274">
        <v>5307</v>
      </c>
      <c r="B253" s="241" t="str">
        <f t="shared" si="25"/>
        <v>FJ</v>
      </c>
      <c r="C253" s="243" t="str">
        <f t="shared" si="26"/>
        <v/>
      </c>
      <c r="D253" s="275" t="s">
        <v>820</v>
      </c>
      <c r="E253" s="214" t="str">
        <f t="shared" si="27"/>
        <v>FJ</v>
      </c>
      <c r="F253" s="242">
        <f t="shared" si="30"/>
        <v>5307</v>
      </c>
      <c r="G253" s="264">
        <v>500</v>
      </c>
      <c r="H253" s="241" t="str">
        <f t="shared" si="29"/>
        <v xml:space="preserve">Frost, Jim </v>
      </c>
      <c r="I253" s="241" t="s">
        <v>849</v>
      </c>
      <c r="L253" s="351" t="str">
        <f t="shared" si="28"/>
        <v>&amp; KIM NOTEHELFER</v>
      </c>
      <c r="M253" s="512">
        <v>5417</v>
      </c>
      <c r="N253" s="511" t="s">
        <v>1496</v>
      </c>
      <c r="O253" s="511" t="s">
        <v>1399</v>
      </c>
      <c r="P253" s="512" t="s">
        <v>701</v>
      </c>
      <c r="T253" s="348">
        <v>5428</v>
      </c>
      <c r="U253" s="348" t="s">
        <v>1490</v>
      </c>
      <c r="V253" s="348" t="s">
        <v>577</v>
      </c>
    </row>
    <row r="254" spans="1:22" ht="12.95" customHeight="1" x14ac:dyDescent="0.2">
      <c r="A254" s="274">
        <v>5308</v>
      </c>
      <c r="B254" s="241" t="str">
        <f t="shared" si="25"/>
        <v>ME</v>
      </c>
      <c r="C254" s="243" t="str">
        <f t="shared" si="26"/>
        <v>Exec</v>
      </c>
      <c r="D254" s="275" t="s">
        <v>925</v>
      </c>
      <c r="E254" s="214" t="str">
        <f t="shared" si="27"/>
        <v>ME</v>
      </c>
      <c r="F254" s="242">
        <f t="shared" si="30"/>
        <v>5308</v>
      </c>
      <c r="G254" s="274">
        <v>500</v>
      </c>
      <c r="H254" s="241" t="str">
        <f t="shared" si="29"/>
        <v xml:space="preserve">Mdl East Dev GFUN </v>
      </c>
      <c r="I254" s="241" t="s">
        <v>846</v>
      </c>
      <c r="L254" s="351" t="str">
        <f t="shared" si="28"/>
        <v>Olson</v>
      </c>
      <c r="M254" s="512">
        <v>5235</v>
      </c>
      <c r="N254" s="511" t="s">
        <v>1604</v>
      </c>
      <c r="O254" s="511" t="s">
        <v>1605</v>
      </c>
      <c r="P254" s="512" t="s">
        <v>701</v>
      </c>
      <c r="T254" s="348">
        <v>5183</v>
      </c>
      <c r="U254" s="348" t="s">
        <v>1491</v>
      </c>
      <c r="V254" s="348" t="s">
        <v>618</v>
      </c>
    </row>
    <row r="255" spans="1:22" ht="12.95" customHeight="1" x14ac:dyDescent="0.2">
      <c r="A255" s="274">
        <v>5309</v>
      </c>
      <c r="B255" s="241" t="str">
        <f t="shared" si="25"/>
        <v>LA</v>
      </c>
      <c r="C255" s="243" t="str">
        <f t="shared" si="26"/>
        <v/>
      </c>
      <c r="D255" s="275" t="s">
        <v>414</v>
      </c>
      <c r="E255" s="214" t="str">
        <f t="shared" si="27"/>
        <v>LA</v>
      </c>
      <c r="F255" s="242">
        <f t="shared" si="30"/>
        <v>5309</v>
      </c>
      <c r="G255" s="264">
        <v>500</v>
      </c>
      <c r="H255" s="241" t="str">
        <f t="shared" si="29"/>
        <v xml:space="preserve">Lam, Abel Pui-Kiu &amp; Phyllis </v>
      </c>
      <c r="I255" s="241" t="s">
        <v>849</v>
      </c>
      <c r="L255" s="351" t="str">
        <f t="shared" si="28"/>
        <v>ONG</v>
      </c>
      <c r="M255" s="512">
        <v>5530</v>
      </c>
      <c r="N255" s="511" t="s">
        <v>1498</v>
      </c>
      <c r="O255" s="511" t="s">
        <v>519</v>
      </c>
      <c r="P255" s="512" t="s">
        <v>701</v>
      </c>
      <c r="T255" s="348">
        <v>5821</v>
      </c>
      <c r="U255" s="348" t="s">
        <v>1492</v>
      </c>
      <c r="V255" s="348" t="s">
        <v>1397</v>
      </c>
    </row>
    <row r="256" spans="1:22" ht="12.95" customHeight="1" x14ac:dyDescent="0.2">
      <c r="A256" s="274">
        <v>5310</v>
      </c>
      <c r="B256" s="241" t="str">
        <f t="shared" si="25"/>
        <v>DS</v>
      </c>
      <c r="C256" s="243" t="str">
        <f t="shared" si="26"/>
        <v/>
      </c>
      <c r="D256" s="275" t="s">
        <v>212</v>
      </c>
      <c r="E256" s="214" t="str">
        <f t="shared" si="27"/>
        <v>DS</v>
      </c>
      <c r="F256" s="242">
        <f t="shared" si="30"/>
        <v>5310</v>
      </c>
      <c r="G256" s="264">
        <v>500</v>
      </c>
      <c r="H256" s="241" t="str">
        <f t="shared" si="29"/>
        <v xml:space="preserve">Desai Special </v>
      </c>
      <c r="I256" s="241" t="s">
        <v>848</v>
      </c>
      <c r="L256" s="351" t="str">
        <f t="shared" si="28"/>
        <v>JANE PONTEN</v>
      </c>
      <c r="M256" s="512">
        <v>5111</v>
      </c>
      <c r="N256" s="511" t="s">
        <v>1400</v>
      </c>
      <c r="O256" s="511" t="s">
        <v>1401</v>
      </c>
      <c r="P256" s="512" t="s">
        <v>701</v>
      </c>
      <c r="T256" s="348">
        <v>5439</v>
      </c>
      <c r="U256" s="348" t="s">
        <v>1534</v>
      </c>
      <c r="V256" s="348" t="s">
        <v>875</v>
      </c>
    </row>
    <row r="257" spans="1:22" ht="12.95" customHeight="1" x14ac:dyDescent="0.2">
      <c r="A257" s="274">
        <v>5311</v>
      </c>
      <c r="B257" s="241" t="str">
        <f t="shared" si="25"/>
        <v>NJ</v>
      </c>
      <c r="C257" s="243" t="str">
        <f t="shared" si="26"/>
        <v/>
      </c>
      <c r="D257" s="275" t="s">
        <v>445</v>
      </c>
      <c r="E257" s="214" t="str">
        <f t="shared" si="27"/>
        <v>NJ</v>
      </c>
      <c r="F257" s="242">
        <v>5312</v>
      </c>
      <c r="G257" s="264">
        <v>500</v>
      </c>
      <c r="H257" s="241" t="str">
        <f t="shared" si="29"/>
        <v xml:space="preserve">Nelson, Jeff </v>
      </c>
      <c r="I257" s="241" t="s">
        <v>849</v>
      </c>
      <c r="L257" s="351" t="str">
        <f t="shared" si="28"/>
        <v>PARLETTE</v>
      </c>
      <c r="M257" s="512">
        <v>5173</v>
      </c>
      <c r="N257" s="511" t="s">
        <v>1112</v>
      </c>
      <c r="O257" s="511" t="s">
        <v>1402</v>
      </c>
      <c r="P257" s="512" t="s">
        <v>701</v>
      </c>
      <c r="T257" s="348" t="s">
        <v>1122</v>
      </c>
      <c r="U257" s="348" t="s">
        <v>1535</v>
      </c>
      <c r="V257" s="348" t="s">
        <v>1493</v>
      </c>
    </row>
    <row r="258" spans="1:22" ht="12.95" customHeight="1" x14ac:dyDescent="0.2">
      <c r="A258" s="274">
        <v>5312</v>
      </c>
      <c r="B258" s="241" t="str">
        <f t="shared" si="25"/>
        <v>LJ</v>
      </c>
      <c r="C258" s="243" t="str">
        <f t="shared" si="26"/>
        <v/>
      </c>
      <c r="D258" s="275" t="s">
        <v>1627</v>
      </c>
      <c r="E258" s="214" t="str">
        <f t="shared" si="27"/>
        <v>LJ</v>
      </c>
      <c r="F258" s="242">
        <f>A257</f>
        <v>5311</v>
      </c>
      <c r="G258" s="274">
        <v>500</v>
      </c>
      <c r="H258" s="241" t="str">
        <f t="shared" si="29"/>
        <v xml:space="preserve">Lasche, Joan </v>
      </c>
      <c r="I258" s="241" t="s">
        <v>849</v>
      </c>
      <c r="L258" s="351" t="str">
        <f t="shared" si="28"/>
        <v>PAXTON</v>
      </c>
      <c r="M258" s="512">
        <v>5651</v>
      </c>
      <c r="N258" s="511" t="s">
        <v>1500</v>
      </c>
      <c r="O258" s="511" t="s">
        <v>612</v>
      </c>
      <c r="P258" s="512" t="s">
        <v>701</v>
      </c>
      <c r="T258" s="348" t="s">
        <v>1122</v>
      </c>
      <c r="U258" s="348" t="s">
        <v>1536</v>
      </c>
      <c r="V258" s="348" t="s">
        <v>1494</v>
      </c>
    </row>
    <row r="259" spans="1:22" ht="12.95" customHeight="1" x14ac:dyDescent="0.2">
      <c r="A259" s="274">
        <v>5313</v>
      </c>
      <c r="B259" s="241" t="str">
        <f t="shared" si="25"/>
        <v>KE</v>
      </c>
      <c r="C259" s="243" t="str">
        <f t="shared" si="26"/>
        <v/>
      </c>
      <c r="D259" s="275" t="s">
        <v>1762</v>
      </c>
      <c r="E259" s="214" t="str">
        <f t="shared" si="27"/>
        <v>KE</v>
      </c>
      <c r="F259" s="242">
        <v>5313</v>
      </c>
      <c r="G259" s="274">
        <v>500</v>
      </c>
      <c r="H259" s="241" t="str">
        <f t="shared" si="29"/>
        <v xml:space="preserve">Koester, Emily </v>
      </c>
      <c r="I259" s="241" t="s">
        <v>849</v>
      </c>
      <c r="L259" s="351" t="str">
        <f t="shared" si="28"/>
        <v>&amp; SANDY PEARCE</v>
      </c>
      <c r="M259" s="512">
        <v>5136</v>
      </c>
      <c r="N259" s="511" t="s">
        <v>1863</v>
      </c>
      <c r="O259" s="511" t="s">
        <v>1864</v>
      </c>
      <c r="P259" s="512" t="s">
        <v>701</v>
      </c>
      <c r="T259" s="348">
        <v>5393</v>
      </c>
      <c r="U259" s="348" t="s">
        <v>1495</v>
      </c>
      <c r="V259" s="348" t="s">
        <v>1398</v>
      </c>
    </row>
    <row r="260" spans="1:22" ht="12.95" customHeight="1" x14ac:dyDescent="0.2">
      <c r="A260" s="274">
        <v>5314</v>
      </c>
      <c r="B260" s="241" t="str">
        <f t="shared" si="25"/>
        <v>MR</v>
      </c>
      <c r="C260" s="243" t="str">
        <f t="shared" si="26"/>
        <v/>
      </c>
      <c r="D260" s="275" t="s">
        <v>435</v>
      </c>
      <c r="E260" s="214" t="str">
        <f t="shared" si="27"/>
        <v>MR</v>
      </c>
      <c r="F260" s="242">
        <f t="shared" ref="F260:F327" si="31">A260</f>
        <v>5314</v>
      </c>
      <c r="G260" s="264">
        <v>500</v>
      </c>
      <c r="H260" s="241" t="str">
        <f t="shared" si="29"/>
        <v xml:space="preserve">McKain, Rebecca </v>
      </c>
      <c r="I260" s="241" t="s">
        <v>849</v>
      </c>
      <c r="L260" s="351" t="str">
        <f t="shared" si="28"/>
        <v>PETERSON</v>
      </c>
      <c r="M260" s="512">
        <v>5519</v>
      </c>
      <c r="N260" s="511" t="s">
        <v>1502</v>
      </c>
      <c r="O260" s="511" t="s">
        <v>876</v>
      </c>
      <c r="P260" s="512" t="s">
        <v>701</v>
      </c>
      <c r="T260" s="348">
        <v>5417</v>
      </c>
      <c r="U260" s="348" t="s">
        <v>1496</v>
      </c>
      <c r="V260" s="348" t="s">
        <v>1399</v>
      </c>
    </row>
    <row r="261" spans="1:22" ht="12.95" customHeight="1" x14ac:dyDescent="0.2">
      <c r="A261" s="274">
        <v>5315</v>
      </c>
      <c r="B261" s="241" t="str">
        <f t="shared" si="25"/>
        <v>LS</v>
      </c>
      <c r="C261" s="243" t="str">
        <f t="shared" si="26"/>
        <v/>
      </c>
      <c r="D261" s="275" t="s">
        <v>235</v>
      </c>
      <c r="E261" s="214" t="str">
        <f t="shared" si="27"/>
        <v>LS</v>
      </c>
      <c r="F261" s="242">
        <f t="shared" si="31"/>
        <v>5315</v>
      </c>
      <c r="G261" s="264">
        <v>500</v>
      </c>
      <c r="H261" s="241" t="str">
        <f t="shared" si="29"/>
        <v xml:space="preserve">Leung, Stephen </v>
      </c>
      <c r="I261" s="241" t="s">
        <v>849</v>
      </c>
      <c r="L261" s="351" t="str">
        <f t="shared" si="28"/>
        <v>petrick</v>
      </c>
      <c r="M261" s="512">
        <v>5389</v>
      </c>
      <c r="N261" s="511" t="s">
        <v>1920</v>
      </c>
      <c r="O261" s="513" t="s">
        <v>1921</v>
      </c>
      <c r="P261" s="514" t="s">
        <v>701</v>
      </c>
      <c r="T261" s="348">
        <v>3200</v>
      </c>
      <c r="U261" s="348" t="s">
        <v>1497</v>
      </c>
      <c r="V261" s="348" t="s">
        <v>654</v>
      </c>
    </row>
    <row r="262" spans="1:22" ht="12.95" customHeight="1" x14ac:dyDescent="0.2">
      <c r="A262" s="274">
        <v>5316</v>
      </c>
      <c r="B262" s="241" t="str">
        <f t="shared" si="25"/>
        <v>LS</v>
      </c>
      <c r="C262" s="243" t="str">
        <f t="shared" si="26"/>
        <v/>
      </c>
      <c r="D262" s="275" t="s">
        <v>234</v>
      </c>
      <c r="E262" s="214" t="str">
        <f t="shared" si="27"/>
        <v>LS</v>
      </c>
      <c r="F262" s="242">
        <f t="shared" si="31"/>
        <v>5316</v>
      </c>
      <c r="G262" s="264">
        <v>500</v>
      </c>
      <c r="H262" s="241" t="str">
        <f t="shared" si="29"/>
        <v xml:space="preserve">Leung Special </v>
      </c>
      <c r="I262" s="241" t="s">
        <v>848</v>
      </c>
      <c r="L262" s="351" t="str">
        <f t="shared" si="28"/>
        <v>CASH</v>
      </c>
      <c r="M262" s="512"/>
      <c r="N262" s="511" t="s">
        <v>625</v>
      </c>
      <c r="O262" s="511" t="s">
        <v>625</v>
      </c>
      <c r="P262" s="512" t="s">
        <v>701</v>
      </c>
      <c r="T262" s="348">
        <v>5235</v>
      </c>
      <c r="U262" s="348" t="s">
        <v>1604</v>
      </c>
      <c r="V262" s="348" t="s">
        <v>1605</v>
      </c>
    </row>
    <row r="263" spans="1:22" ht="12.95" customHeight="1" x14ac:dyDescent="0.2">
      <c r="A263" s="274">
        <v>5317</v>
      </c>
      <c r="B263" s="241" t="str">
        <f t="shared" si="25"/>
        <v>AR</v>
      </c>
      <c r="C263" s="243" t="str">
        <f t="shared" si="26"/>
        <v/>
      </c>
      <c r="D263" s="275" t="s">
        <v>300</v>
      </c>
      <c r="E263" s="214" t="str">
        <f t="shared" si="27"/>
        <v>AR</v>
      </c>
      <c r="F263" s="242">
        <f t="shared" si="31"/>
        <v>5317</v>
      </c>
      <c r="G263" s="264">
        <v>500</v>
      </c>
      <c r="H263" s="241" t="str">
        <f t="shared" si="29"/>
        <v xml:space="preserve">Akhtar, Rasheed </v>
      </c>
      <c r="I263" s="241" t="s">
        <v>849</v>
      </c>
      <c r="L263" s="351" t="str">
        <f t="shared" si="28"/>
        <v>AND HOLLY PIERCE</v>
      </c>
      <c r="M263" s="512">
        <v>5622</v>
      </c>
      <c r="N263" s="511" t="s">
        <v>1503</v>
      </c>
      <c r="O263" s="511" t="s">
        <v>1405</v>
      </c>
      <c r="P263" s="512" t="s">
        <v>701</v>
      </c>
      <c r="T263" s="348">
        <v>5530</v>
      </c>
      <c r="U263" s="348" t="s">
        <v>1498</v>
      </c>
      <c r="V263" s="348" t="s">
        <v>519</v>
      </c>
    </row>
    <row r="264" spans="1:22" ht="12.95" customHeight="1" x14ac:dyDescent="0.2">
      <c r="A264" s="274">
        <v>5318</v>
      </c>
      <c r="B264" s="241" t="str">
        <f t="shared" si="25"/>
        <v>DB</v>
      </c>
      <c r="C264" s="243" t="str">
        <f t="shared" si="26"/>
        <v/>
      </c>
      <c r="D264" s="275" t="s">
        <v>503</v>
      </c>
      <c r="E264" s="214" t="str">
        <f t="shared" si="27"/>
        <v>DB</v>
      </c>
      <c r="F264" s="242">
        <f t="shared" si="31"/>
        <v>5318</v>
      </c>
      <c r="G264" s="264">
        <v>500</v>
      </c>
      <c r="H264" s="241" t="str">
        <f t="shared" si="29"/>
        <v xml:space="preserve">Dickinson, Bethany Special </v>
      </c>
      <c r="I264" s="241" t="s">
        <v>849</v>
      </c>
      <c r="L264" s="351" t="str">
        <f t="shared" si="28"/>
        <v>POLLARD</v>
      </c>
      <c r="M264" s="512">
        <v>5466</v>
      </c>
      <c r="N264" s="511" t="s">
        <v>1504</v>
      </c>
      <c r="O264" s="511" t="s">
        <v>877</v>
      </c>
      <c r="P264" s="512" t="s">
        <v>701</v>
      </c>
      <c r="T264" s="348">
        <v>5111</v>
      </c>
      <c r="U264" s="348" t="s">
        <v>1400</v>
      </c>
      <c r="V264" s="348" t="s">
        <v>1401</v>
      </c>
    </row>
    <row r="265" spans="1:22" ht="12.95" customHeight="1" x14ac:dyDescent="0.2">
      <c r="A265" s="274">
        <v>5319</v>
      </c>
      <c r="B265" s="241" t="str">
        <f t="shared" si="25"/>
        <v>CM</v>
      </c>
      <c r="C265" s="243" t="str">
        <f t="shared" si="26"/>
        <v/>
      </c>
      <c r="D265" s="275" t="s">
        <v>341</v>
      </c>
      <c r="E265" s="214" t="str">
        <f t="shared" si="27"/>
        <v>CM</v>
      </c>
      <c r="F265" s="242">
        <f t="shared" si="31"/>
        <v>5319</v>
      </c>
      <c r="G265" s="264">
        <v>500</v>
      </c>
      <c r="H265" s="241" t="str">
        <f t="shared" si="29"/>
        <v xml:space="preserve">Cutler Michael </v>
      </c>
      <c r="I265" s="241" t="s">
        <v>849</v>
      </c>
      <c r="L265" s="351" t="str">
        <f t="shared" si="28"/>
        <v>&amp; LINDA PRICE</v>
      </c>
      <c r="M265" s="512">
        <v>5553</v>
      </c>
      <c r="N265" s="511" t="s">
        <v>1505</v>
      </c>
      <c r="O265" s="511" t="s">
        <v>1407</v>
      </c>
      <c r="P265" s="512" t="s">
        <v>701</v>
      </c>
      <c r="T265" s="348">
        <v>5173</v>
      </c>
      <c r="U265" s="348" t="s">
        <v>1112</v>
      </c>
      <c r="V265" s="348" t="s">
        <v>1402</v>
      </c>
    </row>
    <row r="266" spans="1:22" ht="12.95" customHeight="1" x14ac:dyDescent="0.2">
      <c r="A266" s="274">
        <v>5320</v>
      </c>
      <c r="B266" s="241" t="str">
        <f t="shared" si="25"/>
        <v>EW</v>
      </c>
      <c r="C266" s="243" t="str">
        <f t="shared" si="26"/>
        <v/>
      </c>
      <c r="D266" s="275" t="s">
        <v>362</v>
      </c>
      <c r="E266" s="214" t="str">
        <f t="shared" si="27"/>
        <v>EW</v>
      </c>
      <c r="F266" s="242">
        <f t="shared" si="31"/>
        <v>5320</v>
      </c>
      <c r="G266" s="264">
        <v>500</v>
      </c>
      <c r="H266" s="241" t="str">
        <f t="shared" si="29"/>
        <v xml:space="preserve">Evans, Wendy </v>
      </c>
      <c r="I266" s="241" t="s">
        <v>849</v>
      </c>
      <c r="L266" s="351" t="str">
        <f t="shared" si="28"/>
        <v>QUEK</v>
      </c>
      <c r="M266" s="512">
        <v>5370</v>
      </c>
      <c r="N266" s="511" t="s">
        <v>1865</v>
      </c>
      <c r="O266" s="511" t="s">
        <v>878</v>
      </c>
      <c r="P266" s="512" t="s">
        <v>701</v>
      </c>
      <c r="T266" s="348" t="s">
        <v>1122</v>
      </c>
      <c r="U266" s="348" t="s">
        <v>1537</v>
      </c>
      <c r="V266" s="348" t="s">
        <v>1499</v>
      </c>
    </row>
    <row r="267" spans="1:22" ht="12.95" customHeight="1" x14ac:dyDescent="0.2">
      <c r="A267" s="274">
        <v>5321</v>
      </c>
      <c r="B267" s="241" t="str">
        <f t="shared" si="25"/>
        <v>ME</v>
      </c>
      <c r="C267" s="243" t="str">
        <f t="shared" si="26"/>
        <v/>
      </c>
      <c r="D267" s="275" t="s">
        <v>427</v>
      </c>
      <c r="E267" s="214" t="str">
        <f t="shared" si="27"/>
        <v>ME</v>
      </c>
      <c r="F267" s="242">
        <f t="shared" si="31"/>
        <v>5321</v>
      </c>
      <c r="G267" s="264">
        <v>500</v>
      </c>
      <c r="H267" s="241" t="str">
        <f t="shared" si="29"/>
        <v xml:space="preserve">Manasco Emily </v>
      </c>
      <c r="I267" s="241" t="s">
        <v>849</v>
      </c>
      <c r="L267" s="351" t="str">
        <f t="shared" si="28"/>
        <v>OR KEVIN QUINN</v>
      </c>
      <c r="M267" s="512">
        <v>5554</v>
      </c>
      <c r="N267" s="511" t="s">
        <v>1866</v>
      </c>
      <c r="O267" s="511" t="s">
        <v>1867</v>
      </c>
      <c r="P267" s="512" t="s">
        <v>701</v>
      </c>
      <c r="T267" s="348">
        <v>5651</v>
      </c>
      <c r="U267" s="348" t="s">
        <v>1500</v>
      </c>
      <c r="V267" s="348" t="s">
        <v>612</v>
      </c>
    </row>
    <row r="268" spans="1:22" ht="12.95" customHeight="1" x14ac:dyDescent="0.2">
      <c r="A268" s="274">
        <v>5324</v>
      </c>
      <c r="B268" s="241" t="str">
        <f t="shared" si="25"/>
        <v>FS</v>
      </c>
      <c r="C268" s="243" t="str">
        <f t="shared" si="26"/>
        <v>Exec</v>
      </c>
      <c r="D268" s="275" t="s">
        <v>926</v>
      </c>
      <c r="E268" s="214" t="str">
        <f t="shared" si="27"/>
        <v>FS</v>
      </c>
      <c r="F268" s="242">
        <f t="shared" si="31"/>
        <v>5324</v>
      </c>
      <c r="G268" s="264">
        <v>500</v>
      </c>
      <c r="H268" s="241" t="str">
        <f t="shared" si="29"/>
        <v xml:space="preserve">Field Staff Support Director </v>
      </c>
      <c r="I268" s="241" t="s">
        <v>846</v>
      </c>
      <c r="L268" s="351" t="str">
        <f t="shared" si="28"/>
        <v>AND DOTTY RIGSTAD</v>
      </c>
      <c r="M268" s="512">
        <v>5493</v>
      </c>
      <c r="N268" s="511" t="s">
        <v>1510</v>
      </c>
      <c r="O268" s="511" t="s">
        <v>1410</v>
      </c>
      <c r="P268" s="512" t="s">
        <v>701</v>
      </c>
      <c r="T268" s="348">
        <v>5136</v>
      </c>
      <c r="U268" s="348" t="s">
        <v>1501</v>
      </c>
      <c r="V268" s="348" t="s">
        <v>1403</v>
      </c>
    </row>
    <row r="269" spans="1:22" ht="12.95" customHeight="1" x14ac:dyDescent="0.2">
      <c r="A269" s="274">
        <v>5326</v>
      </c>
      <c r="B269" s="241" t="str">
        <f t="shared" si="25"/>
        <v>KH</v>
      </c>
      <c r="C269" s="243" t="str">
        <f t="shared" si="26"/>
        <v/>
      </c>
      <c r="D269" s="275" t="s">
        <v>406</v>
      </c>
      <c r="E269" s="214" t="str">
        <f t="shared" si="27"/>
        <v>KH</v>
      </c>
      <c r="F269" s="242">
        <f t="shared" si="31"/>
        <v>5326</v>
      </c>
      <c r="G269" s="264">
        <v>500</v>
      </c>
      <c r="H269" s="241" t="str">
        <f t="shared" si="29"/>
        <v xml:space="preserve">Killion, Howard </v>
      </c>
      <c r="I269" s="241" t="s">
        <v>849</v>
      </c>
      <c r="L269" s="351" t="str">
        <f t="shared" si="28"/>
        <v>ROBERSON</v>
      </c>
      <c r="M269" s="512">
        <v>5730</v>
      </c>
      <c r="N269" s="511" t="s">
        <v>1052</v>
      </c>
      <c r="O269" s="511" t="s">
        <v>1868</v>
      </c>
      <c r="P269" s="512" t="s">
        <v>701</v>
      </c>
      <c r="T269" s="348">
        <v>5519</v>
      </c>
      <c r="U269" s="348" t="s">
        <v>1502</v>
      </c>
      <c r="V269" s="348" t="s">
        <v>1404</v>
      </c>
    </row>
    <row r="270" spans="1:22" ht="12.95" customHeight="1" x14ac:dyDescent="0.2">
      <c r="A270" s="274">
        <v>5327</v>
      </c>
      <c r="B270" s="241" t="str">
        <f t="shared" si="25"/>
        <v>RG</v>
      </c>
      <c r="C270" s="243" t="str">
        <f t="shared" si="26"/>
        <v/>
      </c>
      <c r="D270" s="275" t="s">
        <v>1765</v>
      </c>
      <c r="E270" s="214" t="str">
        <f t="shared" si="27"/>
        <v>RG</v>
      </c>
      <c r="F270" s="242">
        <f t="shared" si="31"/>
        <v>5327</v>
      </c>
      <c r="G270" s="274">
        <v>500</v>
      </c>
      <c r="H270" s="241" t="str">
        <f t="shared" si="29"/>
        <v xml:space="preserve">Roth, Gregory </v>
      </c>
      <c r="I270" s="241" t="s">
        <v>849</v>
      </c>
      <c r="L270" s="351" t="str">
        <f t="shared" si="28"/>
        <v>ROELANTS</v>
      </c>
      <c r="M270" s="512">
        <v>5606</v>
      </c>
      <c r="N270" s="511" t="s">
        <v>1511</v>
      </c>
      <c r="O270" s="511" t="s">
        <v>879</v>
      </c>
      <c r="P270" s="512" t="s">
        <v>701</v>
      </c>
      <c r="T270" s="348" t="s">
        <v>1122</v>
      </c>
      <c r="U270" s="348" t="s">
        <v>625</v>
      </c>
      <c r="V270" s="348" t="s">
        <v>625</v>
      </c>
    </row>
    <row r="271" spans="1:22" ht="12.95" customHeight="1" x14ac:dyDescent="0.2">
      <c r="A271" s="274">
        <v>5328</v>
      </c>
      <c r="B271" s="241" t="str">
        <f t="shared" si="25"/>
        <v>DB</v>
      </c>
      <c r="C271" s="243" t="str">
        <f t="shared" si="26"/>
        <v/>
      </c>
      <c r="D271" s="275" t="s">
        <v>504</v>
      </c>
      <c r="E271" s="214" t="str">
        <f t="shared" si="27"/>
        <v>DB</v>
      </c>
      <c r="F271" s="242">
        <f t="shared" si="31"/>
        <v>5328</v>
      </c>
      <c r="G271" s="264">
        <v>500</v>
      </c>
      <c r="H271" s="241" t="str">
        <f t="shared" si="29"/>
        <v xml:space="preserve">Dickinson, Bethany </v>
      </c>
      <c r="I271" s="241" t="s">
        <v>849</v>
      </c>
      <c r="L271" s="351" t="str">
        <f t="shared" si="28"/>
        <v>Roth</v>
      </c>
      <c r="M271" s="512">
        <v>5327</v>
      </c>
      <c r="N271" s="511" t="s">
        <v>1766</v>
      </c>
      <c r="O271" s="511" t="s">
        <v>1767</v>
      </c>
      <c r="P271" s="512" t="s">
        <v>701</v>
      </c>
      <c r="T271" s="348">
        <v>5622</v>
      </c>
      <c r="U271" s="348" t="s">
        <v>1503</v>
      </c>
      <c r="V271" s="348" t="s">
        <v>1405</v>
      </c>
    </row>
    <row r="272" spans="1:22" ht="12.95" customHeight="1" x14ac:dyDescent="0.2">
      <c r="A272" s="274">
        <v>5329</v>
      </c>
      <c r="B272" s="241" t="str">
        <f t="shared" si="25"/>
        <v>RI</v>
      </c>
      <c r="C272" s="243" t="str">
        <f t="shared" si="26"/>
        <v>Exec</v>
      </c>
      <c r="D272" s="275" t="s">
        <v>927</v>
      </c>
      <c r="E272" s="214" t="str">
        <f t="shared" si="27"/>
        <v>RI</v>
      </c>
      <c r="F272" s="242">
        <f t="shared" si="31"/>
        <v>5329</v>
      </c>
      <c r="G272" s="264">
        <v>500</v>
      </c>
      <c r="H272" s="241" t="str">
        <f t="shared" si="29"/>
        <v xml:space="preserve">Reg Inf Min Exp Rec </v>
      </c>
      <c r="I272" s="241" t="s">
        <v>846</v>
      </c>
      <c r="L272" s="351" t="str">
        <f t="shared" si="28"/>
        <v>RUNYON</v>
      </c>
      <c r="M272" s="512">
        <v>5490</v>
      </c>
      <c r="N272" s="511" t="s">
        <v>1512</v>
      </c>
      <c r="O272" s="511" t="s">
        <v>652</v>
      </c>
      <c r="P272" s="512" t="s">
        <v>701</v>
      </c>
      <c r="T272" s="348">
        <v>5466</v>
      </c>
      <c r="U272" s="348" t="s">
        <v>1504</v>
      </c>
      <c r="V272" s="348" t="s">
        <v>1406</v>
      </c>
    </row>
    <row r="273" spans="1:22" ht="12.95" customHeight="1" x14ac:dyDescent="0.2">
      <c r="A273" s="274">
        <v>5330</v>
      </c>
      <c r="B273" s="241" t="str">
        <f t="shared" si="25"/>
        <v>SA</v>
      </c>
      <c r="C273" s="243" t="str">
        <f t="shared" si="26"/>
        <v/>
      </c>
      <c r="D273" s="275" t="s">
        <v>475</v>
      </c>
      <c r="E273" s="214" t="str">
        <f t="shared" si="27"/>
        <v>SA</v>
      </c>
      <c r="F273" s="242">
        <f t="shared" si="31"/>
        <v>5330</v>
      </c>
      <c r="G273" s="264">
        <v>500</v>
      </c>
      <c r="H273" s="241" t="str">
        <f t="shared" si="29"/>
        <v xml:space="preserve">Schaeffer, Ava </v>
      </c>
      <c r="I273" s="241" t="s">
        <v>849</v>
      </c>
      <c r="L273" s="351" t="str">
        <f t="shared" si="28"/>
        <v>SAMSON</v>
      </c>
      <c r="M273" s="512">
        <v>5632</v>
      </c>
      <c r="N273" s="511" t="s">
        <v>1513</v>
      </c>
      <c r="O273" s="511" t="s">
        <v>1869</v>
      </c>
      <c r="P273" s="512" t="s">
        <v>701</v>
      </c>
      <c r="T273" s="348">
        <v>5553</v>
      </c>
      <c r="U273" s="348" t="s">
        <v>1505</v>
      </c>
      <c r="V273" s="348" t="s">
        <v>1407</v>
      </c>
    </row>
    <row r="274" spans="1:22" ht="12.95" customHeight="1" x14ac:dyDescent="0.2">
      <c r="A274" s="274">
        <v>5331</v>
      </c>
      <c r="B274" s="241" t="str">
        <f t="shared" si="25"/>
        <v>YD</v>
      </c>
      <c r="C274" s="243" t="str">
        <f t="shared" si="26"/>
        <v/>
      </c>
      <c r="D274" s="275" t="s">
        <v>277</v>
      </c>
      <c r="E274" s="214" t="str">
        <f t="shared" si="27"/>
        <v>YD</v>
      </c>
      <c r="F274" s="242">
        <f t="shared" si="31"/>
        <v>5331</v>
      </c>
      <c r="G274" s="264">
        <v>500</v>
      </c>
      <c r="H274" s="241" t="str">
        <f t="shared" si="29"/>
        <v xml:space="preserve">Younkin Dan </v>
      </c>
      <c r="I274" s="241" t="s">
        <v>849</v>
      </c>
      <c r="L274" s="351" t="str">
        <f t="shared" si="28"/>
        <v>SAUR</v>
      </c>
      <c r="M274" s="512">
        <v>5768</v>
      </c>
      <c r="N274" s="511" t="s">
        <v>1515</v>
      </c>
      <c r="O274" s="511" t="s">
        <v>655</v>
      </c>
      <c r="P274" s="512" t="s">
        <v>701</v>
      </c>
      <c r="T274" s="348">
        <v>5370</v>
      </c>
      <c r="U274" s="348" t="s">
        <v>1506</v>
      </c>
      <c r="V274" s="348" t="s">
        <v>1408</v>
      </c>
    </row>
    <row r="275" spans="1:22" ht="12.95" customHeight="1" x14ac:dyDescent="0.2">
      <c r="A275" s="274">
        <v>5332</v>
      </c>
      <c r="B275" s="241" t="str">
        <f t="shared" si="25"/>
        <v>KJ</v>
      </c>
      <c r="C275" s="243" t="str">
        <f t="shared" si="26"/>
        <v/>
      </c>
      <c r="D275" s="275" t="s">
        <v>1768</v>
      </c>
      <c r="E275" s="214" t="str">
        <f t="shared" si="27"/>
        <v>KJ</v>
      </c>
      <c r="F275" s="242">
        <f t="shared" si="31"/>
        <v>5332</v>
      </c>
      <c r="G275" s="264">
        <v>500</v>
      </c>
      <c r="H275" s="241" t="str">
        <f t="shared" si="29"/>
        <v xml:space="preserve">Keslte, Jeremy </v>
      </c>
      <c r="I275" s="241" t="s">
        <v>849</v>
      </c>
      <c r="L275" s="351" t="str">
        <f t="shared" si="28"/>
        <v>SAWYER</v>
      </c>
      <c r="M275" s="512">
        <v>5497</v>
      </c>
      <c r="N275" s="511" t="s">
        <v>554</v>
      </c>
      <c r="O275" s="511" t="s">
        <v>555</v>
      </c>
      <c r="P275" s="512" t="s">
        <v>701</v>
      </c>
      <c r="T275" s="348">
        <v>5554</v>
      </c>
      <c r="U275" s="348" t="s">
        <v>1507</v>
      </c>
      <c r="V275" s="348" t="s">
        <v>1409</v>
      </c>
    </row>
    <row r="276" spans="1:22" ht="12.95" customHeight="1" x14ac:dyDescent="0.2">
      <c r="A276" s="274">
        <v>5333</v>
      </c>
      <c r="B276" s="241" t="str">
        <f t="shared" si="25"/>
        <v>PD</v>
      </c>
      <c r="C276" s="243" t="str">
        <f t="shared" si="26"/>
        <v>Shaw, Tovar</v>
      </c>
      <c r="D276" s="275" t="s">
        <v>1743</v>
      </c>
      <c r="E276" s="214" t="str">
        <f t="shared" si="27"/>
        <v>PD</v>
      </c>
      <c r="F276" s="242">
        <f t="shared" si="31"/>
        <v>5333</v>
      </c>
      <c r="G276" s="264">
        <v>500</v>
      </c>
      <c r="H276" s="241" t="str">
        <f t="shared" si="29"/>
        <v xml:space="preserve">Prod Displays </v>
      </c>
      <c r="I276" s="241" t="s">
        <v>846</v>
      </c>
      <c r="L276" s="351" t="str">
        <f t="shared" si="28"/>
        <v>SCHAEFFER</v>
      </c>
      <c r="M276" s="512">
        <v>5330</v>
      </c>
      <c r="N276" s="511" t="s">
        <v>1516</v>
      </c>
      <c r="O276" s="511" t="s">
        <v>523</v>
      </c>
      <c r="P276" s="512" t="s">
        <v>701</v>
      </c>
      <c r="T276" s="348">
        <v>5921</v>
      </c>
      <c r="U276" s="348" t="s">
        <v>1508</v>
      </c>
      <c r="V276" s="348" t="s">
        <v>784</v>
      </c>
    </row>
    <row r="277" spans="1:22" ht="12.95" customHeight="1" x14ac:dyDescent="0.2">
      <c r="A277" s="274">
        <v>5335</v>
      </c>
      <c r="B277" s="241" t="str">
        <f t="shared" si="25"/>
        <v>CJ</v>
      </c>
      <c r="C277" s="243" t="str">
        <f t="shared" si="26"/>
        <v/>
      </c>
      <c r="D277" s="275" t="s">
        <v>205</v>
      </c>
      <c r="E277" s="214" t="str">
        <f t="shared" si="27"/>
        <v>CJ</v>
      </c>
      <c r="F277" s="242">
        <f t="shared" si="31"/>
        <v>5335</v>
      </c>
      <c r="G277" s="264">
        <v>500</v>
      </c>
      <c r="H277" s="241" t="str">
        <f t="shared" si="29"/>
        <v xml:space="preserve">Clements, John </v>
      </c>
      <c r="I277" s="241" t="s">
        <v>849</v>
      </c>
      <c r="L277" s="351" t="str">
        <f t="shared" si="28"/>
        <v>&amp; ANGELA SEEVER</v>
      </c>
      <c r="M277" s="512">
        <v>5610</v>
      </c>
      <c r="N277" s="511" t="s">
        <v>1517</v>
      </c>
      <c r="O277" s="511" t="s">
        <v>1870</v>
      </c>
      <c r="P277" s="512" t="s">
        <v>701</v>
      </c>
      <c r="T277" s="348" t="s">
        <v>1122</v>
      </c>
      <c r="U277" s="348" t="s">
        <v>1538</v>
      </c>
      <c r="V277" s="348" t="s">
        <v>1509</v>
      </c>
    </row>
    <row r="278" spans="1:22" ht="12.95" customHeight="1" x14ac:dyDescent="0.2">
      <c r="A278" s="274">
        <v>5336</v>
      </c>
      <c r="B278" s="241" t="str">
        <f t="shared" si="25"/>
        <v>CR</v>
      </c>
      <c r="C278" s="243" t="str">
        <f t="shared" si="26"/>
        <v/>
      </c>
      <c r="D278" s="275" t="s">
        <v>336</v>
      </c>
      <c r="E278" s="214" t="str">
        <f t="shared" si="27"/>
        <v>CR</v>
      </c>
      <c r="F278" s="242">
        <f t="shared" si="31"/>
        <v>5336</v>
      </c>
      <c r="G278" s="264">
        <v>500</v>
      </c>
      <c r="H278" s="241" t="str">
        <f t="shared" si="29"/>
        <v xml:space="preserve">Cossette, Richard &amp; Carol </v>
      </c>
      <c r="I278" s="241" t="s">
        <v>849</v>
      </c>
      <c r="L278" s="351" t="str">
        <f t="shared" si="28"/>
        <v>SEGER</v>
      </c>
      <c r="M278" s="512">
        <v>5757</v>
      </c>
      <c r="N278" s="511" t="s">
        <v>1518</v>
      </c>
      <c r="O278" s="511" t="s">
        <v>1064</v>
      </c>
      <c r="P278" s="512" t="s">
        <v>701</v>
      </c>
      <c r="T278" s="348">
        <v>5493</v>
      </c>
      <c r="U278" s="348" t="s">
        <v>1510</v>
      </c>
      <c r="V278" s="348" t="s">
        <v>1410</v>
      </c>
    </row>
    <row r="279" spans="1:22" ht="12.95" customHeight="1" x14ac:dyDescent="0.2">
      <c r="A279" s="274">
        <v>5337</v>
      </c>
      <c r="B279" s="241" t="str">
        <f t="shared" si="25"/>
        <v>DD</v>
      </c>
      <c r="C279" s="243" t="str">
        <f t="shared" si="26"/>
        <v/>
      </c>
      <c r="D279" s="275" t="s">
        <v>342</v>
      </c>
      <c r="E279" s="214" t="str">
        <f t="shared" si="27"/>
        <v>DD</v>
      </c>
      <c r="F279" s="242">
        <f t="shared" si="31"/>
        <v>5337</v>
      </c>
      <c r="G279" s="264">
        <v>500</v>
      </c>
      <c r="H279" s="241" t="str">
        <f t="shared" si="29"/>
        <v xml:space="preserve">Daeschner, Dick </v>
      </c>
      <c r="I279" s="241" t="s">
        <v>849</v>
      </c>
      <c r="L279" s="351" t="str">
        <f t="shared" si="28"/>
        <v>SHARKA</v>
      </c>
      <c r="M279" s="512"/>
      <c r="N279" s="511" t="s">
        <v>1519</v>
      </c>
      <c r="O279" s="511" t="s">
        <v>1412</v>
      </c>
      <c r="P279" s="512" t="s">
        <v>701</v>
      </c>
      <c r="T279" s="348">
        <v>5730</v>
      </c>
      <c r="U279" s="348" t="s">
        <v>1052</v>
      </c>
      <c r="V279" s="348" t="s">
        <v>1053</v>
      </c>
    </row>
    <row r="280" spans="1:22" ht="12.95" customHeight="1" x14ac:dyDescent="0.2">
      <c r="A280" s="274">
        <v>5338</v>
      </c>
      <c r="B280" s="241" t="str">
        <f t="shared" si="25"/>
        <v>WD</v>
      </c>
      <c r="C280" s="243" t="str">
        <f t="shared" si="26"/>
        <v/>
      </c>
      <c r="D280" s="275" t="s">
        <v>669</v>
      </c>
      <c r="E280" s="214" t="str">
        <f t="shared" si="27"/>
        <v>WD</v>
      </c>
      <c r="F280" s="242">
        <f t="shared" si="31"/>
        <v>5338</v>
      </c>
      <c r="G280" s="264">
        <v>500</v>
      </c>
      <c r="H280" s="241" t="str">
        <f t="shared" si="29"/>
        <v xml:space="preserve">Williams, David </v>
      </c>
      <c r="I280" s="241" t="s">
        <v>849</v>
      </c>
      <c r="L280" s="351" t="str">
        <f t="shared" si="28"/>
        <v>DOUG SHAW</v>
      </c>
      <c r="M280" s="512">
        <v>1100</v>
      </c>
      <c r="N280" s="511" t="s">
        <v>1520</v>
      </c>
      <c r="O280" s="511" t="s">
        <v>1414</v>
      </c>
      <c r="P280" s="512" t="s">
        <v>701</v>
      </c>
      <c r="T280" s="348">
        <v>5606</v>
      </c>
      <c r="U280" s="348" t="s">
        <v>1511</v>
      </c>
      <c r="V280" s="348" t="s">
        <v>879</v>
      </c>
    </row>
    <row r="281" spans="1:22" ht="12.95" customHeight="1" x14ac:dyDescent="0.2">
      <c r="A281" s="274">
        <v>5339</v>
      </c>
      <c r="B281" s="241" t="str">
        <f t="shared" si="25"/>
        <v>CS</v>
      </c>
      <c r="C281" s="243" t="str">
        <f t="shared" si="26"/>
        <v/>
      </c>
      <c r="D281" s="275" t="s">
        <v>208</v>
      </c>
      <c r="E281" s="214" t="str">
        <f t="shared" si="27"/>
        <v>CS</v>
      </c>
      <c r="F281" s="242">
        <f t="shared" si="31"/>
        <v>5339</v>
      </c>
      <c r="G281" s="264">
        <v>500</v>
      </c>
      <c r="H281" s="241" t="str">
        <f t="shared" si="29"/>
        <v xml:space="preserve">Cutler Special </v>
      </c>
      <c r="I281" s="241" t="s">
        <v>848</v>
      </c>
      <c r="L281" s="351" t="str">
        <f t="shared" si="28"/>
        <v>SHAW</v>
      </c>
      <c r="M281" s="512">
        <v>3100</v>
      </c>
      <c r="N281" s="511" t="s">
        <v>598</v>
      </c>
      <c r="O281" s="511" t="s">
        <v>1413</v>
      </c>
      <c r="P281" s="512" t="s">
        <v>701</v>
      </c>
      <c r="T281" s="348">
        <v>5490</v>
      </c>
      <c r="U281" s="348" t="s">
        <v>1512</v>
      </c>
      <c r="V281" s="348" t="s">
        <v>652</v>
      </c>
    </row>
    <row r="282" spans="1:22" ht="12.95" customHeight="1" x14ac:dyDescent="0.2">
      <c r="A282" s="274">
        <v>5340</v>
      </c>
      <c r="B282" s="241" t="str">
        <f t="shared" si="25"/>
        <v>RW</v>
      </c>
      <c r="C282" s="243" t="str">
        <f t="shared" si="26"/>
        <v/>
      </c>
      <c r="D282" s="275" t="s">
        <v>467</v>
      </c>
      <c r="E282" s="214" t="str">
        <f t="shared" si="27"/>
        <v>RW</v>
      </c>
      <c r="F282" s="242">
        <f t="shared" si="31"/>
        <v>5340</v>
      </c>
      <c r="G282" s="264">
        <v>500</v>
      </c>
      <c r="H282" s="241" t="str">
        <f t="shared" si="29"/>
        <v xml:space="preserve">Ritchie, Winnie </v>
      </c>
      <c r="I282" s="241" t="s">
        <v>849</v>
      </c>
      <c r="L282" s="351" t="str">
        <f t="shared" si="28"/>
        <v>SHAW</v>
      </c>
      <c r="M282" s="512"/>
      <c r="N282" s="511" t="s">
        <v>1521</v>
      </c>
      <c r="O282" s="511" t="s">
        <v>1522</v>
      </c>
      <c r="P282" s="512" t="s">
        <v>701</v>
      </c>
      <c r="T282" s="348">
        <v>5632</v>
      </c>
      <c r="U282" s="348" t="s">
        <v>1513</v>
      </c>
      <c r="V282" s="348" t="s">
        <v>1090</v>
      </c>
    </row>
    <row r="283" spans="1:22" ht="12.95" customHeight="1" x14ac:dyDescent="0.2">
      <c r="A283" s="274">
        <v>5341</v>
      </c>
      <c r="B283" s="241" t="str">
        <f t="shared" si="25"/>
        <v>WD</v>
      </c>
      <c r="C283" s="243" t="str">
        <f t="shared" si="26"/>
        <v/>
      </c>
      <c r="D283" s="275" t="s">
        <v>670</v>
      </c>
      <c r="E283" s="214" t="str">
        <f t="shared" si="27"/>
        <v>WD</v>
      </c>
      <c r="F283" s="242">
        <f t="shared" si="31"/>
        <v>5341</v>
      </c>
      <c r="G283" s="264">
        <v>500</v>
      </c>
      <c r="H283" s="241" t="str">
        <f t="shared" si="29"/>
        <v xml:space="preserve">Williams, D Special </v>
      </c>
      <c r="I283" s="241" t="s">
        <v>849</v>
      </c>
      <c r="L283" s="351" t="str">
        <f t="shared" si="28"/>
        <v>SHELLEY</v>
      </c>
      <c r="M283" s="512">
        <v>5375</v>
      </c>
      <c r="N283" s="511" t="s">
        <v>1523</v>
      </c>
      <c r="O283" s="511" t="s">
        <v>544</v>
      </c>
      <c r="P283" s="512" t="s">
        <v>701</v>
      </c>
      <c r="T283" s="348" t="s">
        <v>1122</v>
      </c>
      <c r="U283" s="348" t="s">
        <v>1539</v>
      </c>
      <c r="V283" s="348" t="s">
        <v>1514</v>
      </c>
    </row>
    <row r="284" spans="1:22" ht="12.95" customHeight="1" x14ac:dyDescent="0.2">
      <c r="A284" s="274">
        <v>5342</v>
      </c>
      <c r="B284" s="241" t="str">
        <f t="shared" si="25"/>
        <v>BC</v>
      </c>
      <c r="C284" s="243" t="str">
        <f t="shared" si="26"/>
        <v/>
      </c>
      <c r="D284" s="275" t="s">
        <v>317</v>
      </c>
      <c r="E284" s="214" t="str">
        <f t="shared" si="27"/>
        <v>BC</v>
      </c>
      <c r="F284" s="242">
        <f t="shared" si="31"/>
        <v>5342</v>
      </c>
      <c r="G284" s="264">
        <v>500</v>
      </c>
      <c r="H284" s="241" t="str">
        <f t="shared" si="29"/>
        <v xml:space="preserve">Boyle, Charles &amp; Tracey </v>
      </c>
      <c r="I284" s="241" t="s">
        <v>849</v>
      </c>
      <c r="L284" s="351" t="str">
        <f t="shared" si="28"/>
        <v>SHELLING</v>
      </c>
      <c r="M284" s="512">
        <v>5722</v>
      </c>
      <c r="N284" s="511" t="s">
        <v>1871</v>
      </c>
      <c r="O284" s="511" t="s">
        <v>1872</v>
      </c>
      <c r="P284" s="512" t="s">
        <v>701</v>
      </c>
      <c r="T284" s="348">
        <v>5768</v>
      </c>
      <c r="U284" s="348" t="s">
        <v>1515</v>
      </c>
      <c r="V284" s="348" t="s">
        <v>655</v>
      </c>
    </row>
    <row r="285" spans="1:22" ht="12.95" customHeight="1" x14ac:dyDescent="0.2">
      <c r="A285" s="274">
        <v>5343</v>
      </c>
      <c r="B285" s="241" t="str">
        <f t="shared" si="25"/>
        <v>BC</v>
      </c>
      <c r="C285" s="243" t="str">
        <f t="shared" si="26"/>
        <v/>
      </c>
      <c r="D285" s="275" t="s">
        <v>197</v>
      </c>
      <c r="E285" s="214" t="str">
        <f t="shared" si="27"/>
        <v>BC</v>
      </c>
      <c r="F285" s="242">
        <f t="shared" si="31"/>
        <v>5343</v>
      </c>
      <c r="G285" s="264">
        <v>500</v>
      </c>
      <c r="H285" s="241" t="str">
        <f t="shared" si="29"/>
        <v xml:space="preserve">Broward County </v>
      </c>
      <c r="I285" s="241" t="s">
        <v>849</v>
      </c>
      <c r="L285" s="351" t="str">
        <f t="shared" si="28"/>
        <v>SHIH</v>
      </c>
      <c r="M285" s="512">
        <v>5662</v>
      </c>
      <c r="N285" s="511" t="s">
        <v>626</v>
      </c>
      <c r="O285" s="511" t="s">
        <v>627</v>
      </c>
      <c r="P285" s="512" t="s">
        <v>701</v>
      </c>
      <c r="T285" s="348">
        <v>5497</v>
      </c>
      <c r="U285" s="348" t="s">
        <v>554</v>
      </c>
      <c r="V285" s="348" t="s">
        <v>555</v>
      </c>
    </row>
    <row r="286" spans="1:22" ht="12.95" customHeight="1" x14ac:dyDescent="0.2">
      <c r="A286" s="274">
        <v>5345</v>
      </c>
      <c r="B286" s="241" t="str">
        <f t="shared" si="25"/>
        <v>SJ</v>
      </c>
      <c r="C286" s="243" t="str">
        <f t="shared" si="26"/>
        <v/>
      </c>
      <c r="D286" s="275" t="s">
        <v>800</v>
      </c>
      <c r="E286" s="214" t="str">
        <f t="shared" si="27"/>
        <v>SJ</v>
      </c>
      <c r="F286" s="242">
        <f t="shared" si="31"/>
        <v>5345</v>
      </c>
      <c r="G286" s="264">
        <v>500</v>
      </c>
      <c r="H286" s="241" t="str">
        <f t="shared" si="29"/>
        <v xml:space="preserve">Steers, John &amp; Joyce </v>
      </c>
      <c r="I286" s="241" t="s">
        <v>849</v>
      </c>
      <c r="L286" s="351" t="str">
        <f t="shared" si="28"/>
        <v>&amp; LESLEY SHIRK</v>
      </c>
      <c r="M286" s="512">
        <v>5687</v>
      </c>
      <c r="N286" s="511" t="s">
        <v>1873</v>
      </c>
      <c r="O286" s="511" t="s">
        <v>1874</v>
      </c>
      <c r="P286" s="512" t="s">
        <v>701</v>
      </c>
      <c r="T286" s="348">
        <v>5330</v>
      </c>
      <c r="U286" s="348" t="s">
        <v>1516</v>
      </c>
      <c r="V286" s="348" t="s">
        <v>523</v>
      </c>
    </row>
    <row r="287" spans="1:22" ht="12.95" customHeight="1" x14ac:dyDescent="0.2">
      <c r="A287" s="274">
        <v>5346</v>
      </c>
      <c r="B287" s="241" t="str">
        <f t="shared" si="25"/>
        <v>HI</v>
      </c>
      <c r="C287" s="243" t="str">
        <f t="shared" si="26"/>
        <v/>
      </c>
      <c r="D287" s="275" t="s">
        <v>821</v>
      </c>
      <c r="E287" s="214" t="str">
        <f t="shared" si="27"/>
        <v>HI</v>
      </c>
      <c r="F287" s="242">
        <f t="shared" si="31"/>
        <v>5346</v>
      </c>
      <c r="G287" s="264">
        <v>500</v>
      </c>
      <c r="H287" s="241" t="str">
        <f t="shared" si="29"/>
        <v xml:space="preserve">Hodges, Isabel </v>
      </c>
      <c r="I287" s="241" t="s">
        <v>849</v>
      </c>
      <c r="L287" s="351" t="str">
        <f t="shared" si="28"/>
        <v>&amp; JULIE SIGMAN</v>
      </c>
      <c r="M287" s="512">
        <v>5540</v>
      </c>
      <c r="N287" s="511" t="s">
        <v>1875</v>
      </c>
      <c r="O287" s="511" t="s">
        <v>1876</v>
      </c>
      <c r="P287" s="512" t="s">
        <v>701</v>
      </c>
      <c r="T287" s="348">
        <v>5610</v>
      </c>
      <c r="U287" s="348" t="s">
        <v>1517</v>
      </c>
      <c r="V287" s="348" t="s">
        <v>1411</v>
      </c>
    </row>
    <row r="288" spans="1:22" ht="12.95" customHeight="1" x14ac:dyDescent="0.2">
      <c r="A288" s="274">
        <v>5347</v>
      </c>
      <c r="B288" s="241" t="str">
        <f t="shared" si="25"/>
        <v>PS</v>
      </c>
      <c r="C288" s="243" t="str">
        <f t="shared" si="26"/>
        <v/>
      </c>
      <c r="D288" s="275" t="s">
        <v>451</v>
      </c>
      <c r="E288" s="214" t="str">
        <f t="shared" si="27"/>
        <v>PS</v>
      </c>
      <c r="F288" s="242">
        <f t="shared" si="31"/>
        <v>5347</v>
      </c>
      <c r="G288" s="274">
        <v>500</v>
      </c>
      <c r="H288" s="241" t="str">
        <f t="shared" si="29"/>
        <v xml:space="preserve">Paxton Special </v>
      </c>
      <c r="I288" s="241" t="s">
        <v>848</v>
      </c>
      <c r="L288" s="351" t="str">
        <f t="shared" si="28"/>
        <v>&amp; CHLOE SIMPSON</v>
      </c>
      <c r="M288" s="512">
        <v>5773</v>
      </c>
      <c r="N288" s="511" t="s">
        <v>1525</v>
      </c>
      <c r="O288" s="511" t="s">
        <v>1877</v>
      </c>
      <c r="P288" s="512" t="s">
        <v>701</v>
      </c>
      <c r="T288" s="347">
        <v>5757</v>
      </c>
      <c r="U288" s="347" t="s">
        <v>1518</v>
      </c>
      <c r="V288" s="348" t="s">
        <v>1064</v>
      </c>
    </row>
    <row r="289" spans="1:22" ht="12.95" customHeight="1" x14ac:dyDescent="0.2">
      <c r="A289" s="274">
        <v>5350</v>
      </c>
      <c r="B289" s="241" t="str">
        <f t="shared" si="25"/>
        <v>HS</v>
      </c>
      <c r="C289" s="243" t="str">
        <f t="shared" si="26"/>
        <v/>
      </c>
      <c r="D289" s="275" t="s">
        <v>391</v>
      </c>
      <c r="E289" s="214" t="str">
        <f t="shared" si="27"/>
        <v>HS</v>
      </c>
      <c r="F289" s="242">
        <f t="shared" si="31"/>
        <v>5350</v>
      </c>
      <c r="G289" s="264">
        <v>500</v>
      </c>
      <c r="H289" s="241" t="str">
        <f t="shared" si="29"/>
        <v xml:space="preserve">Hope, Steve &amp; Natasha </v>
      </c>
      <c r="I289" s="241" t="s">
        <v>849</v>
      </c>
      <c r="L289" s="351" t="str">
        <f t="shared" si="28"/>
        <v>&amp; JOSIE SINCLAIR</v>
      </c>
      <c r="M289" s="512">
        <v>5483</v>
      </c>
      <c r="N289" s="511" t="s">
        <v>600</v>
      </c>
      <c r="O289" s="511" t="s">
        <v>1418</v>
      </c>
      <c r="P289" s="512" t="s">
        <v>701</v>
      </c>
      <c r="T289" s="348" t="s">
        <v>1122</v>
      </c>
      <c r="U289" s="348" t="s">
        <v>1519</v>
      </c>
      <c r="V289" s="348" t="s">
        <v>1412</v>
      </c>
    </row>
    <row r="290" spans="1:22" ht="12.95" customHeight="1" x14ac:dyDescent="0.2">
      <c r="A290" s="274">
        <v>5351</v>
      </c>
      <c r="B290" s="241" t="str">
        <f t="shared" ref="B290:B356" si="32">E290</f>
        <v>KL</v>
      </c>
      <c r="C290" s="243" t="str">
        <f t="shared" ref="C290:C356" si="33">IFERROR(MID(D290,SEARCH("{",D290,1)+1,SEARCH("}",D290,1)-SEARCH("{",D290,1)-1),"")</f>
        <v/>
      </c>
      <c r="D290" s="275" t="s">
        <v>1598</v>
      </c>
      <c r="E290" s="214" t="str">
        <f t="shared" ref="E290:E356" si="34">LEFT(D290,1)&amp;MID(D290,SEARCH(" ",D290,1)+1,1)</f>
        <v>KL</v>
      </c>
      <c r="F290" s="242">
        <f t="shared" si="31"/>
        <v>5351</v>
      </c>
      <c r="G290" s="264">
        <v>500</v>
      </c>
      <c r="H290" s="241" t="str">
        <f t="shared" si="29"/>
        <v xml:space="preserve">Kindermann, Lisa &amp; Steve </v>
      </c>
      <c r="I290" s="241" t="s">
        <v>849</v>
      </c>
      <c r="L290" s="351" t="str">
        <f t="shared" si="28"/>
        <v>&amp; JAN SMITH</v>
      </c>
      <c r="M290" s="510">
        <v>5609</v>
      </c>
      <c r="N290" s="511" t="s">
        <v>1878</v>
      </c>
      <c r="O290" s="511" t="s">
        <v>1879</v>
      </c>
      <c r="P290" s="512" t="s">
        <v>701</v>
      </c>
      <c r="T290" s="348">
        <v>1100</v>
      </c>
      <c r="U290" s="348" t="s">
        <v>1520</v>
      </c>
      <c r="V290" s="348" t="s">
        <v>1414</v>
      </c>
    </row>
    <row r="291" spans="1:22" ht="12.95" customHeight="1" x14ac:dyDescent="0.2">
      <c r="A291" s="274">
        <v>5353</v>
      </c>
      <c r="B291" s="241" t="str">
        <f t="shared" si="32"/>
        <v>MD</v>
      </c>
      <c r="C291" s="243" t="str">
        <f t="shared" si="33"/>
        <v/>
      </c>
      <c r="D291" s="275" t="s">
        <v>429</v>
      </c>
      <c r="E291" s="214" t="str">
        <f t="shared" si="34"/>
        <v>MD</v>
      </c>
      <c r="F291" s="242">
        <f t="shared" si="31"/>
        <v>5353</v>
      </c>
      <c r="G291" s="274">
        <v>500</v>
      </c>
      <c r="H291" s="241" t="str">
        <f t="shared" si="29"/>
        <v xml:space="preserve">Mannon, David </v>
      </c>
      <c r="I291" s="241" t="s">
        <v>849</v>
      </c>
      <c r="L291" s="351" t="str">
        <f t="shared" si="28"/>
        <v>AND HOLLY SMUCKER</v>
      </c>
      <c r="M291" s="512">
        <v>5424</v>
      </c>
      <c r="N291" s="511" t="s">
        <v>1526</v>
      </c>
      <c r="O291" s="511" t="s">
        <v>1880</v>
      </c>
      <c r="P291" s="512" t="s">
        <v>701</v>
      </c>
      <c r="T291" s="348">
        <v>3100</v>
      </c>
      <c r="U291" s="348" t="s">
        <v>598</v>
      </c>
      <c r="V291" s="348" t="s">
        <v>1413</v>
      </c>
    </row>
    <row r="292" spans="1:22" ht="12.95" customHeight="1" x14ac:dyDescent="0.2">
      <c r="A292" s="274">
        <v>5354</v>
      </c>
      <c r="B292" s="241" t="str">
        <f t="shared" si="32"/>
        <v>CD</v>
      </c>
      <c r="C292" s="243" t="str">
        <f t="shared" si="33"/>
        <v/>
      </c>
      <c r="D292" s="275" t="s">
        <v>1916</v>
      </c>
      <c r="E292" s="214" t="str">
        <f t="shared" si="34"/>
        <v>CD</v>
      </c>
      <c r="F292" s="242">
        <f t="shared" si="31"/>
        <v>5354</v>
      </c>
      <c r="G292" s="264">
        <v>500</v>
      </c>
      <c r="H292" s="241" t="str">
        <f t="shared" si="29"/>
        <v xml:space="preserve">Cherry, Doug </v>
      </c>
      <c r="I292" s="241" t="s">
        <v>849</v>
      </c>
      <c r="L292" s="351" t="str">
        <f t="shared" si="28"/>
        <v>SNYDER</v>
      </c>
      <c r="M292" s="512">
        <v>3100</v>
      </c>
      <c r="N292" s="511" t="s">
        <v>1881</v>
      </c>
      <c r="O292" s="511" t="s">
        <v>1882</v>
      </c>
      <c r="P292" s="512" t="s">
        <v>701</v>
      </c>
      <c r="T292" s="348" t="s">
        <v>1122</v>
      </c>
      <c r="U292" s="348" t="s">
        <v>1521</v>
      </c>
      <c r="V292" s="348" t="s">
        <v>1522</v>
      </c>
    </row>
    <row r="293" spans="1:22" ht="12.95" customHeight="1" x14ac:dyDescent="0.2">
      <c r="A293" s="274">
        <v>5355</v>
      </c>
      <c r="B293" s="241" t="str">
        <f t="shared" si="32"/>
        <v>CG</v>
      </c>
      <c r="C293" s="243" t="str">
        <f t="shared" si="33"/>
        <v/>
      </c>
      <c r="D293" s="275" t="s">
        <v>340</v>
      </c>
      <c r="E293" s="214" t="str">
        <f t="shared" si="34"/>
        <v>CG</v>
      </c>
      <c r="F293" s="242">
        <f t="shared" si="31"/>
        <v>5355</v>
      </c>
      <c r="G293" s="264">
        <v>500</v>
      </c>
      <c r="H293" s="241" t="str">
        <f t="shared" si="29"/>
        <v xml:space="preserve">Crowell, Gil </v>
      </c>
      <c r="I293" s="241" t="s">
        <v>849</v>
      </c>
      <c r="L293" s="351" t="str">
        <f t="shared" si="28"/>
        <v>SODERGREN</v>
      </c>
      <c r="M293" s="512">
        <v>5208</v>
      </c>
      <c r="N293" s="511" t="s">
        <v>545</v>
      </c>
      <c r="O293" s="511" t="s">
        <v>880</v>
      </c>
      <c r="P293" s="512" t="s">
        <v>701</v>
      </c>
      <c r="T293" s="348">
        <v>5375</v>
      </c>
      <c r="U293" s="348" t="s">
        <v>1523</v>
      </c>
      <c r="V293" s="348" t="s">
        <v>544</v>
      </c>
    </row>
    <row r="294" spans="1:22" ht="12.95" customHeight="1" x14ac:dyDescent="0.2">
      <c r="A294" s="274">
        <v>5356</v>
      </c>
      <c r="B294" s="241" t="str">
        <f t="shared" si="32"/>
        <v>TA</v>
      </c>
      <c r="C294" s="243" t="str">
        <f t="shared" si="33"/>
        <v/>
      </c>
      <c r="D294" s="275" t="s">
        <v>271</v>
      </c>
      <c r="E294" s="214" t="str">
        <f t="shared" si="34"/>
        <v>TA</v>
      </c>
      <c r="F294" s="242">
        <f t="shared" si="31"/>
        <v>5356</v>
      </c>
      <c r="G294" s="264">
        <v>500</v>
      </c>
      <c r="H294" s="241" t="str">
        <f t="shared" si="29"/>
        <v xml:space="preserve">Truex, Aubrey </v>
      </c>
      <c r="I294" s="241" t="s">
        <v>849</v>
      </c>
      <c r="L294" s="351" t="str">
        <f t="shared" si="28"/>
        <v>SONG</v>
      </c>
      <c r="M294" s="512">
        <v>5388</v>
      </c>
      <c r="N294" s="511" t="s">
        <v>1527</v>
      </c>
      <c r="O294" s="511" t="s">
        <v>785</v>
      </c>
      <c r="P294" s="512" t="s">
        <v>701</v>
      </c>
      <c r="T294" s="348">
        <v>5662</v>
      </c>
      <c r="U294" s="348" t="s">
        <v>626</v>
      </c>
      <c r="V294" s="348" t="s">
        <v>627</v>
      </c>
    </row>
    <row r="295" spans="1:22" ht="12.95" customHeight="1" x14ac:dyDescent="0.2">
      <c r="A295" s="274">
        <v>5357</v>
      </c>
      <c r="B295" s="241" t="str">
        <f t="shared" si="32"/>
        <v>TS</v>
      </c>
      <c r="C295" s="243" t="str">
        <f t="shared" si="33"/>
        <v/>
      </c>
      <c r="D295" s="275" t="s">
        <v>486</v>
      </c>
      <c r="E295" s="214" t="str">
        <f t="shared" si="34"/>
        <v>TS</v>
      </c>
      <c r="F295" s="242">
        <f t="shared" si="31"/>
        <v>5357</v>
      </c>
      <c r="G295" s="264">
        <v>500</v>
      </c>
      <c r="H295" s="241" t="str">
        <f t="shared" si="29"/>
        <v xml:space="preserve">Truex Special </v>
      </c>
      <c r="I295" s="241" t="s">
        <v>848</v>
      </c>
      <c r="L295" s="351" t="str">
        <f t="shared" si="28"/>
        <v>SPADY</v>
      </c>
      <c r="M295" s="512">
        <v>5667</v>
      </c>
      <c r="N295" s="511" t="s">
        <v>585</v>
      </c>
      <c r="O295" s="511" t="s">
        <v>881</v>
      </c>
      <c r="P295" s="512" t="s">
        <v>701</v>
      </c>
      <c r="T295" s="348">
        <v>5687</v>
      </c>
      <c r="U295" s="348" t="s">
        <v>1524</v>
      </c>
      <c r="V295" s="348" t="s">
        <v>1415</v>
      </c>
    </row>
    <row r="296" spans="1:22" ht="12.95" customHeight="1" x14ac:dyDescent="0.2">
      <c r="A296" s="274">
        <v>5358</v>
      </c>
      <c r="B296" s="241" t="str">
        <f t="shared" si="32"/>
        <v>CM</v>
      </c>
      <c r="C296" s="243" t="str">
        <f t="shared" si="33"/>
        <v/>
      </c>
      <c r="D296" s="275" t="s">
        <v>324</v>
      </c>
      <c r="E296" s="214" t="str">
        <f t="shared" si="34"/>
        <v>CM</v>
      </c>
      <c r="F296" s="242">
        <f t="shared" si="31"/>
        <v>5358</v>
      </c>
      <c r="G296" s="264">
        <v>500</v>
      </c>
      <c r="H296" s="241" t="str">
        <f t="shared" si="29"/>
        <v xml:space="preserve">Cain, Michael &amp; Kathy </v>
      </c>
      <c r="I296" s="241" t="s">
        <v>849</v>
      </c>
      <c r="L296" s="351" t="str">
        <f t="shared" ref="L296:L343" si="35">RIGHT(O296,LEN(O296)-SEARCH(" ",O296,1))</f>
        <v>&amp; JUDY SPAULDING</v>
      </c>
      <c r="M296" s="512">
        <v>5170</v>
      </c>
      <c r="N296" s="511" t="s">
        <v>634</v>
      </c>
      <c r="O296" s="511" t="s">
        <v>1883</v>
      </c>
      <c r="P296" s="512" t="s">
        <v>701</v>
      </c>
      <c r="T296" s="348">
        <v>5540</v>
      </c>
      <c r="U296" s="348" t="s">
        <v>657</v>
      </c>
      <c r="V296" s="348" t="s">
        <v>1416</v>
      </c>
    </row>
    <row r="297" spans="1:22" ht="12.95" customHeight="1" x14ac:dyDescent="0.2">
      <c r="A297" s="274">
        <v>5359</v>
      </c>
      <c r="B297" s="241" t="str">
        <f t="shared" si="32"/>
        <v>CS</v>
      </c>
      <c r="C297" s="243" t="str">
        <f t="shared" si="33"/>
        <v/>
      </c>
      <c r="D297" s="275" t="s">
        <v>199</v>
      </c>
      <c r="E297" s="214" t="str">
        <f t="shared" si="34"/>
        <v>CS</v>
      </c>
      <c r="F297" s="242">
        <f t="shared" si="31"/>
        <v>5359</v>
      </c>
      <c r="G297" s="264">
        <v>500</v>
      </c>
      <c r="H297" s="241" t="str">
        <f t="shared" si="29"/>
        <v xml:space="preserve">Cain Special Fund </v>
      </c>
      <c r="I297" s="241" t="s">
        <v>848</v>
      </c>
      <c r="L297" s="351" t="str">
        <f t="shared" si="35"/>
        <v>ALEX STARK</v>
      </c>
      <c r="M297" s="512">
        <v>5754</v>
      </c>
      <c r="N297" s="511" t="s">
        <v>570</v>
      </c>
      <c r="O297" s="511" t="s">
        <v>1884</v>
      </c>
      <c r="P297" s="512" t="s">
        <v>701</v>
      </c>
      <c r="T297" s="348">
        <v>5773</v>
      </c>
      <c r="U297" s="348" t="s">
        <v>1525</v>
      </c>
      <c r="V297" s="348" t="s">
        <v>1417</v>
      </c>
    </row>
    <row r="298" spans="1:22" ht="12.95" customHeight="1" x14ac:dyDescent="0.2">
      <c r="A298" s="274">
        <v>5360</v>
      </c>
      <c r="B298" s="241" t="str">
        <f t="shared" si="32"/>
        <v>HF</v>
      </c>
      <c r="C298" s="243" t="str">
        <f t="shared" si="33"/>
        <v>Shaw, Tovar</v>
      </c>
      <c r="D298" s="275" t="s">
        <v>1744</v>
      </c>
      <c r="E298" s="214" t="str">
        <f t="shared" si="34"/>
        <v>HF</v>
      </c>
      <c r="F298" s="242">
        <f t="shared" si="31"/>
        <v>5360</v>
      </c>
      <c r="G298" s="264">
        <v>200</v>
      </c>
      <c r="H298" s="241" t="str">
        <f t="shared" si="29"/>
        <v xml:space="preserve">Humprey Fellows </v>
      </c>
      <c r="I298" s="241" t="s">
        <v>846</v>
      </c>
      <c r="L298" s="351" t="str">
        <f t="shared" si="35"/>
        <v>&amp; JOYCE STEERS</v>
      </c>
      <c r="M298" s="512">
        <v>5345</v>
      </c>
      <c r="N298" s="511" t="s">
        <v>1885</v>
      </c>
      <c r="O298" s="511" t="s">
        <v>1424</v>
      </c>
      <c r="P298" s="512" t="s">
        <v>701</v>
      </c>
      <c r="T298" s="348">
        <v>5483</v>
      </c>
      <c r="U298" s="348" t="s">
        <v>600</v>
      </c>
      <c r="V298" s="348" t="s">
        <v>1418</v>
      </c>
    </row>
    <row r="299" spans="1:22" ht="12.95" customHeight="1" x14ac:dyDescent="0.2">
      <c r="A299" s="274">
        <v>5361</v>
      </c>
      <c r="B299" s="241" t="str">
        <f t="shared" si="32"/>
        <v>CH</v>
      </c>
      <c r="C299" s="243" t="str">
        <f t="shared" si="33"/>
        <v/>
      </c>
      <c r="D299" s="275" t="s">
        <v>202</v>
      </c>
      <c r="E299" s="214" t="str">
        <f t="shared" si="34"/>
        <v>CH</v>
      </c>
      <c r="F299" s="242">
        <f t="shared" si="31"/>
        <v>5361</v>
      </c>
      <c r="G299" s="264">
        <v>500</v>
      </c>
      <c r="H299" s="241" t="str">
        <f t="shared" si="29"/>
        <v xml:space="preserve">Christofer, Hannah </v>
      </c>
      <c r="I299" s="241" t="s">
        <v>849</v>
      </c>
      <c r="L299" s="351" t="str">
        <f t="shared" si="35"/>
        <v>STEGEHUIS</v>
      </c>
      <c r="M299" s="512"/>
      <c r="N299" s="511" t="s">
        <v>1529</v>
      </c>
      <c r="O299" s="511" t="s">
        <v>786</v>
      </c>
      <c r="P299" s="512" t="s">
        <v>701</v>
      </c>
      <c r="T299" s="348">
        <v>5609</v>
      </c>
      <c r="U299" s="348" t="s">
        <v>534</v>
      </c>
      <c r="V299" s="348" t="s">
        <v>1419</v>
      </c>
    </row>
    <row r="300" spans="1:22" ht="12.95" customHeight="1" x14ac:dyDescent="0.2">
      <c r="A300" s="274">
        <v>5362</v>
      </c>
      <c r="B300" s="241" t="str">
        <f t="shared" si="32"/>
        <v>WT</v>
      </c>
      <c r="C300" s="243" t="str">
        <f t="shared" si="33"/>
        <v/>
      </c>
      <c r="D300" s="275" t="s">
        <v>492</v>
      </c>
      <c r="E300" s="214" t="str">
        <f t="shared" si="34"/>
        <v>WT</v>
      </c>
      <c r="F300" s="242">
        <f t="shared" si="31"/>
        <v>5362</v>
      </c>
      <c r="G300" s="264">
        <v>500</v>
      </c>
      <c r="H300" s="241" t="str">
        <f t="shared" si="29"/>
        <v xml:space="preserve">Weston, Tim </v>
      </c>
      <c r="I300" s="241" t="s">
        <v>849</v>
      </c>
      <c r="L300" s="351" t="str">
        <f t="shared" si="35"/>
        <v>STEINBORN</v>
      </c>
      <c r="M300" s="512"/>
      <c r="N300" s="511" t="s">
        <v>1886</v>
      </c>
      <c r="O300" s="511" t="s">
        <v>1887</v>
      </c>
      <c r="P300" s="512" t="s">
        <v>701</v>
      </c>
      <c r="T300" s="348">
        <v>5424</v>
      </c>
      <c r="U300" s="348" t="s">
        <v>1526</v>
      </c>
      <c r="V300" s="348" t="s">
        <v>613</v>
      </c>
    </row>
    <row r="301" spans="1:22" ht="12.95" customHeight="1" x14ac:dyDescent="0.2">
      <c r="A301" s="274">
        <v>5363</v>
      </c>
      <c r="B301" s="241" t="str">
        <f t="shared" si="32"/>
        <v>WS</v>
      </c>
      <c r="C301" s="243" t="str">
        <f t="shared" si="33"/>
        <v/>
      </c>
      <c r="D301" s="275" t="s">
        <v>491</v>
      </c>
      <c r="E301" s="214" t="str">
        <f t="shared" si="34"/>
        <v>WS</v>
      </c>
      <c r="F301" s="242">
        <f t="shared" si="31"/>
        <v>5363</v>
      </c>
      <c r="G301" s="264">
        <v>500</v>
      </c>
      <c r="H301" s="241" t="str">
        <f t="shared" si="29"/>
        <v xml:space="preserve">Weston Special </v>
      </c>
      <c r="I301" s="241" t="s">
        <v>848</v>
      </c>
      <c r="L301" s="351" t="str">
        <f t="shared" si="35"/>
        <v>STEWART</v>
      </c>
      <c r="M301" s="512">
        <v>5227</v>
      </c>
      <c r="N301" s="511" t="s">
        <v>1530</v>
      </c>
      <c r="O301" s="511" t="s">
        <v>583</v>
      </c>
      <c r="P301" s="512" t="s">
        <v>701</v>
      </c>
      <c r="T301" s="348">
        <v>5208</v>
      </c>
      <c r="U301" s="348" t="s">
        <v>545</v>
      </c>
      <c r="V301" s="348" t="s">
        <v>1420</v>
      </c>
    </row>
    <row r="302" spans="1:22" ht="12.95" customHeight="1" x14ac:dyDescent="0.2">
      <c r="A302" s="274">
        <v>5364</v>
      </c>
      <c r="B302" s="241" t="str">
        <f t="shared" si="32"/>
        <v>AA</v>
      </c>
      <c r="C302" s="243" t="str">
        <f t="shared" si="33"/>
        <v/>
      </c>
      <c r="D302" s="275" t="s">
        <v>299</v>
      </c>
      <c r="E302" s="214" t="str">
        <f t="shared" si="34"/>
        <v>AA</v>
      </c>
      <c r="F302" s="242">
        <f t="shared" si="31"/>
        <v>5364</v>
      </c>
      <c r="G302" s="264">
        <v>500</v>
      </c>
      <c r="H302" s="241" t="str">
        <f t="shared" si="29"/>
        <v xml:space="preserve">Adrian, Anne </v>
      </c>
      <c r="I302" s="241" t="s">
        <v>849</v>
      </c>
      <c r="L302" s="351" t="str">
        <f t="shared" si="35"/>
        <v>STORMS</v>
      </c>
      <c r="M302" s="512">
        <v>5425</v>
      </c>
      <c r="N302" s="511" t="s">
        <v>1531</v>
      </c>
      <c r="O302" s="511" t="s">
        <v>546</v>
      </c>
      <c r="P302" s="512" t="s">
        <v>701</v>
      </c>
      <c r="T302" s="348">
        <v>5388</v>
      </c>
      <c r="U302" s="348" t="s">
        <v>1527</v>
      </c>
      <c r="V302" s="348" t="s">
        <v>785</v>
      </c>
    </row>
    <row r="303" spans="1:22" ht="12.95" customHeight="1" x14ac:dyDescent="0.2">
      <c r="A303" s="274">
        <v>5365</v>
      </c>
      <c r="B303" s="241" t="str">
        <f t="shared" si="32"/>
        <v>AS</v>
      </c>
      <c r="C303" s="243" t="str">
        <f t="shared" si="33"/>
        <v/>
      </c>
      <c r="D303" s="275" t="s">
        <v>189</v>
      </c>
      <c r="E303" s="214" t="str">
        <f t="shared" si="34"/>
        <v>AS</v>
      </c>
      <c r="F303" s="242">
        <f t="shared" si="31"/>
        <v>5365</v>
      </c>
      <c r="G303" s="264">
        <v>500</v>
      </c>
      <c r="H303" s="241" t="str">
        <f t="shared" si="29"/>
        <v xml:space="preserve">Adrian, Special </v>
      </c>
      <c r="I303" s="241" t="s">
        <v>848</v>
      </c>
      <c r="L303" s="351" t="str">
        <f t="shared" si="35"/>
        <v>TANG</v>
      </c>
      <c r="M303" s="512">
        <v>5545</v>
      </c>
      <c r="N303" s="511" t="s">
        <v>1541</v>
      </c>
      <c r="O303" s="511" t="s">
        <v>1426</v>
      </c>
      <c r="P303" s="512" t="s">
        <v>701</v>
      </c>
      <c r="T303" s="348">
        <v>5667</v>
      </c>
      <c r="U303" s="348" t="s">
        <v>585</v>
      </c>
      <c r="V303" s="348" t="s">
        <v>1421</v>
      </c>
    </row>
    <row r="304" spans="1:22" ht="12.95" customHeight="1" x14ac:dyDescent="0.2">
      <c r="A304" s="274">
        <v>5367</v>
      </c>
      <c r="B304" s="241" t="str">
        <f t="shared" si="32"/>
        <v>BS</v>
      </c>
      <c r="C304" s="243" t="str">
        <f t="shared" si="33"/>
        <v/>
      </c>
      <c r="D304" s="275" t="s">
        <v>313</v>
      </c>
      <c r="E304" s="214" t="str">
        <f t="shared" si="34"/>
        <v>BS</v>
      </c>
      <c r="F304" s="242">
        <f t="shared" si="31"/>
        <v>5367</v>
      </c>
      <c r="G304" s="264">
        <v>500</v>
      </c>
      <c r="H304" s="241" t="str">
        <f t="shared" ref="H304:H370" si="36">LEFT(D304,SEARCH("(",D304,1)-1)</f>
        <v xml:space="preserve">Bevans, Seth </v>
      </c>
      <c r="I304" s="241" t="s">
        <v>849</v>
      </c>
      <c r="L304" s="351" t="str">
        <f t="shared" si="35"/>
        <v>THOMAS</v>
      </c>
      <c r="M304" s="512">
        <v>5162</v>
      </c>
      <c r="N304" s="511" t="s">
        <v>1542</v>
      </c>
      <c r="O304" s="511" t="s">
        <v>1427</v>
      </c>
      <c r="P304" s="512" t="s">
        <v>701</v>
      </c>
      <c r="T304" s="348">
        <v>5170</v>
      </c>
      <c r="U304" s="348" t="s">
        <v>634</v>
      </c>
      <c r="V304" s="348" t="s">
        <v>1422</v>
      </c>
    </row>
    <row r="305" spans="1:22" ht="12.95" customHeight="1" x14ac:dyDescent="0.2">
      <c r="A305" s="274">
        <v>5368</v>
      </c>
      <c r="B305" s="241" t="str">
        <f t="shared" si="32"/>
        <v>WM</v>
      </c>
      <c r="C305" s="243" t="str">
        <f t="shared" si="33"/>
        <v/>
      </c>
      <c r="D305" s="275" t="s">
        <v>274</v>
      </c>
      <c r="E305" s="214" t="str">
        <f t="shared" si="34"/>
        <v>WM</v>
      </c>
      <c r="F305" s="242">
        <f t="shared" si="31"/>
        <v>5368</v>
      </c>
      <c r="G305" s="264">
        <v>500</v>
      </c>
      <c r="H305" s="241" t="str">
        <f t="shared" si="36"/>
        <v xml:space="preserve">Whitman, Mort </v>
      </c>
      <c r="I305" s="241" t="s">
        <v>849</v>
      </c>
      <c r="L305" s="351" t="str">
        <f t="shared" si="35"/>
        <v>AND JANE THOMAS</v>
      </c>
      <c r="M305" s="512">
        <v>5221</v>
      </c>
      <c r="N305" s="511" t="s">
        <v>1543</v>
      </c>
      <c r="O305" s="511" t="s">
        <v>1428</v>
      </c>
      <c r="P305" s="512" t="s">
        <v>701</v>
      </c>
      <c r="T305" s="348">
        <v>3200</v>
      </c>
      <c r="U305" s="348" t="s">
        <v>1528</v>
      </c>
      <c r="V305" s="348" t="s">
        <v>1423</v>
      </c>
    </row>
    <row r="306" spans="1:22" ht="12.95" customHeight="1" x14ac:dyDescent="0.2">
      <c r="A306" s="274">
        <v>5369</v>
      </c>
      <c r="B306" s="241" t="str">
        <f t="shared" si="32"/>
        <v>WS</v>
      </c>
      <c r="C306" s="243" t="str">
        <f t="shared" si="33"/>
        <v/>
      </c>
      <c r="D306" s="275" t="s">
        <v>493</v>
      </c>
      <c r="E306" s="214" t="str">
        <f t="shared" si="34"/>
        <v>WS</v>
      </c>
      <c r="F306" s="242">
        <f t="shared" si="31"/>
        <v>5369</v>
      </c>
      <c r="G306" s="264">
        <v>500</v>
      </c>
      <c r="H306" s="241" t="str">
        <f t="shared" si="36"/>
        <v xml:space="preserve">Whitman Special </v>
      </c>
      <c r="I306" s="241" t="s">
        <v>848</v>
      </c>
      <c r="L306" s="351" t="str">
        <f t="shared" si="35"/>
        <v>K THOMAS</v>
      </c>
      <c r="M306" s="512">
        <v>5443</v>
      </c>
      <c r="N306" s="511" t="s">
        <v>1544</v>
      </c>
      <c r="O306" s="511" t="s">
        <v>1429</v>
      </c>
      <c r="P306" s="512" t="s">
        <v>701</v>
      </c>
      <c r="T306" s="348">
        <v>5754</v>
      </c>
      <c r="U306" s="348" t="s">
        <v>570</v>
      </c>
      <c r="V306" s="348" t="s">
        <v>571</v>
      </c>
    </row>
    <row r="307" spans="1:22" ht="12.95" customHeight="1" x14ac:dyDescent="0.2">
      <c r="A307" s="274">
        <v>5370</v>
      </c>
      <c r="B307" s="241" t="str">
        <f t="shared" si="32"/>
        <v>QK</v>
      </c>
      <c r="C307" s="243" t="str">
        <f t="shared" si="33"/>
        <v/>
      </c>
      <c r="D307" s="275" t="s">
        <v>462</v>
      </c>
      <c r="E307" s="214" t="str">
        <f t="shared" si="34"/>
        <v>QK</v>
      </c>
      <c r="F307" s="242">
        <f t="shared" si="31"/>
        <v>5370</v>
      </c>
      <c r="G307" s="264">
        <v>500</v>
      </c>
      <c r="H307" s="241" t="str">
        <f t="shared" si="36"/>
        <v xml:space="preserve">Quek, Kelly </v>
      </c>
      <c r="I307" s="241" t="s">
        <v>849</v>
      </c>
      <c r="L307" s="351" t="str">
        <f t="shared" si="35"/>
        <v>TIDD</v>
      </c>
      <c r="M307" s="512">
        <v>5704</v>
      </c>
      <c r="N307" s="511" t="s">
        <v>1545</v>
      </c>
      <c r="O307" s="511" t="s">
        <v>1888</v>
      </c>
      <c r="P307" s="512" t="s">
        <v>701</v>
      </c>
      <c r="T307" s="348">
        <v>5345</v>
      </c>
      <c r="U307" s="348" t="s">
        <v>592</v>
      </c>
      <c r="V307" s="348" t="s">
        <v>1424</v>
      </c>
    </row>
    <row r="308" spans="1:22" ht="12.95" customHeight="1" x14ac:dyDescent="0.2">
      <c r="A308" s="274">
        <v>5371</v>
      </c>
      <c r="B308" s="241" t="str">
        <f t="shared" si="32"/>
        <v>QS</v>
      </c>
      <c r="C308" s="243" t="str">
        <f t="shared" si="33"/>
        <v/>
      </c>
      <c r="D308" s="275" t="s">
        <v>253</v>
      </c>
      <c r="E308" s="214" t="str">
        <f t="shared" si="34"/>
        <v>QS</v>
      </c>
      <c r="F308" s="242">
        <f t="shared" si="31"/>
        <v>5371</v>
      </c>
      <c r="G308" s="264">
        <v>500</v>
      </c>
      <c r="H308" s="241" t="str">
        <f t="shared" si="36"/>
        <v xml:space="preserve">Quek Special </v>
      </c>
      <c r="I308" s="241" t="s">
        <v>848</v>
      </c>
      <c r="L308" s="351" t="str">
        <f t="shared" si="35"/>
        <v>TIPPERY</v>
      </c>
      <c r="M308" s="512">
        <v>5652</v>
      </c>
      <c r="N308" s="511" t="s">
        <v>1546</v>
      </c>
      <c r="O308" s="511" t="s">
        <v>1430</v>
      </c>
      <c r="P308" s="512" t="s">
        <v>701</v>
      </c>
      <c r="T308" s="348" t="s">
        <v>1122</v>
      </c>
      <c r="U308" s="348" t="s">
        <v>1529</v>
      </c>
      <c r="V308" s="348" t="s">
        <v>786</v>
      </c>
    </row>
    <row r="309" spans="1:22" ht="12.95" customHeight="1" x14ac:dyDescent="0.2">
      <c r="A309" s="274">
        <v>5373</v>
      </c>
      <c r="B309" s="241" t="str">
        <f t="shared" si="32"/>
        <v>OS</v>
      </c>
      <c r="C309" s="243" t="str">
        <f t="shared" si="33"/>
        <v/>
      </c>
      <c r="D309" s="275" t="s">
        <v>248</v>
      </c>
      <c r="E309" s="214" t="str">
        <f t="shared" si="34"/>
        <v>OS</v>
      </c>
      <c r="F309" s="242">
        <f t="shared" si="31"/>
        <v>5373</v>
      </c>
      <c r="G309" s="264">
        <v>500</v>
      </c>
      <c r="H309" s="241" t="str">
        <f t="shared" si="36"/>
        <v xml:space="preserve">Ou-yang Special </v>
      </c>
      <c r="I309" s="241" t="s">
        <v>848</v>
      </c>
      <c r="L309" s="351" t="str">
        <f t="shared" si="35"/>
        <v>TOVAR</v>
      </c>
      <c r="M309" s="512">
        <v>3100</v>
      </c>
      <c r="N309" s="511" t="s">
        <v>1547</v>
      </c>
      <c r="O309" s="511" t="s">
        <v>517</v>
      </c>
      <c r="P309" s="512" t="s">
        <v>701</v>
      </c>
      <c r="T309" s="348">
        <v>5227</v>
      </c>
      <c r="U309" s="348" t="s">
        <v>1530</v>
      </c>
      <c r="V309" s="348" t="s">
        <v>583</v>
      </c>
    </row>
    <row r="310" spans="1:22" ht="12.95" customHeight="1" x14ac:dyDescent="0.2">
      <c r="A310" s="274">
        <v>5375</v>
      </c>
      <c r="B310" s="241" t="str">
        <f t="shared" si="32"/>
        <v>SD</v>
      </c>
      <c r="C310" s="243" t="str">
        <f t="shared" si="33"/>
        <v/>
      </c>
      <c r="D310" s="275" t="s">
        <v>515</v>
      </c>
      <c r="E310" s="214" t="str">
        <f t="shared" si="34"/>
        <v>SD</v>
      </c>
      <c r="F310" s="242">
        <f t="shared" si="31"/>
        <v>5375</v>
      </c>
      <c r="G310" s="264">
        <v>500</v>
      </c>
      <c r="H310" s="241" t="str">
        <f t="shared" si="36"/>
        <v xml:space="preserve">Shelly, David </v>
      </c>
      <c r="I310" s="241" t="s">
        <v>849</v>
      </c>
      <c r="L310" s="351" t="str">
        <f t="shared" si="35"/>
        <v>TOWNSEND</v>
      </c>
      <c r="M310" s="512">
        <v>5612</v>
      </c>
      <c r="N310" s="511" t="s">
        <v>1548</v>
      </c>
      <c r="O310" s="511" t="s">
        <v>1889</v>
      </c>
      <c r="P310" s="512" t="s">
        <v>701</v>
      </c>
      <c r="T310" s="348">
        <v>5425</v>
      </c>
      <c r="U310" s="348" t="s">
        <v>1531</v>
      </c>
      <c r="V310" s="348" t="s">
        <v>546</v>
      </c>
    </row>
    <row r="311" spans="1:22" ht="12.95" customHeight="1" x14ac:dyDescent="0.2">
      <c r="A311" s="274">
        <v>5376</v>
      </c>
      <c r="B311" s="241" t="str">
        <f t="shared" si="32"/>
        <v>DS</v>
      </c>
      <c r="C311" s="243" t="str">
        <f t="shared" si="33"/>
        <v/>
      </c>
      <c r="D311" s="275" t="s">
        <v>348</v>
      </c>
      <c r="E311" s="214" t="str">
        <f t="shared" si="34"/>
        <v>DS</v>
      </c>
      <c r="F311" s="242">
        <f t="shared" si="31"/>
        <v>5376</v>
      </c>
      <c r="G311" s="264">
        <v>500</v>
      </c>
      <c r="H311" s="241" t="str">
        <f t="shared" si="36"/>
        <v xml:space="preserve">Desai Special </v>
      </c>
      <c r="I311" s="241" t="s">
        <v>848</v>
      </c>
      <c r="L311" s="351" t="str">
        <f t="shared" si="35"/>
        <v>TRAUTMAN</v>
      </c>
      <c r="M311" s="512"/>
      <c r="N311" s="511" t="s">
        <v>1890</v>
      </c>
      <c r="O311" s="511" t="s">
        <v>1891</v>
      </c>
      <c r="P311" s="512" t="s">
        <v>701</v>
      </c>
      <c r="T311" s="348" t="s">
        <v>1122</v>
      </c>
      <c r="U311" s="348" t="s">
        <v>1532</v>
      </c>
      <c r="V311" s="348" t="s">
        <v>1425</v>
      </c>
    </row>
    <row r="312" spans="1:22" ht="12.95" customHeight="1" x14ac:dyDescent="0.2">
      <c r="A312" s="274">
        <v>5377</v>
      </c>
      <c r="B312" s="241" t="str">
        <f t="shared" si="32"/>
        <v>SS</v>
      </c>
      <c r="C312" s="243" t="str">
        <f t="shared" si="33"/>
        <v>Frambes</v>
      </c>
      <c r="D312" s="275" t="s">
        <v>739</v>
      </c>
      <c r="E312" s="214" t="str">
        <f t="shared" si="34"/>
        <v>SS</v>
      </c>
      <c r="F312" s="242">
        <f t="shared" si="31"/>
        <v>5377</v>
      </c>
      <c r="G312" s="264">
        <v>500</v>
      </c>
      <c r="H312" s="241" t="str">
        <f t="shared" si="36"/>
        <v xml:space="preserve">Seattle Student Spon </v>
      </c>
      <c r="I312" s="241" t="s">
        <v>847</v>
      </c>
      <c r="L312" s="351" t="str">
        <f t="shared" si="35"/>
        <v>TRICE</v>
      </c>
      <c r="M312" s="512"/>
      <c r="N312" s="511" t="s">
        <v>1892</v>
      </c>
      <c r="O312" s="511" t="s">
        <v>1893</v>
      </c>
      <c r="P312" s="512" t="s">
        <v>701</v>
      </c>
      <c r="T312" s="348">
        <v>5659</v>
      </c>
      <c r="U312" s="348" t="s">
        <v>1640</v>
      </c>
      <c r="V312" s="348" t="s">
        <v>1641</v>
      </c>
    </row>
    <row r="313" spans="1:22" ht="12.95" customHeight="1" x14ac:dyDescent="0.2">
      <c r="A313" s="274">
        <v>5378</v>
      </c>
      <c r="B313" s="241" t="str">
        <f t="shared" si="32"/>
        <v>HM</v>
      </c>
      <c r="C313" s="243" t="str">
        <f t="shared" si="33"/>
        <v/>
      </c>
      <c r="D313" s="275" t="s">
        <v>225</v>
      </c>
      <c r="E313" s="214" t="str">
        <f t="shared" si="34"/>
        <v>HM</v>
      </c>
      <c r="F313" s="242">
        <f t="shared" si="31"/>
        <v>5378</v>
      </c>
      <c r="G313" s="264">
        <v>500</v>
      </c>
      <c r="H313" s="241" t="str">
        <f t="shared" si="36"/>
        <v xml:space="preserve">Hershberger, Mike </v>
      </c>
      <c r="I313" s="241" t="s">
        <v>849</v>
      </c>
      <c r="L313" s="351" t="str">
        <f t="shared" si="35"/>
        <v>TRUEX</v>
      </c>
      <c r="M313" s="512">
        <v>5356</v>
      </c>
      <c r="N313" s="511" t="s">
        <v>1549</v>
      </c>
      <c r="O313" s="511" t="s">
        <v>522</v>
      </c>
      <c r="P313" s="512" t="s">
        <v>701</v>
      </c>
      <c r="T313" s="348" t="s">
        <v>1122</v>
      </c>
      <c r="U313" s="348" t="s">
        <v>1540</v>
      </c>
      <c r="V313" s="348" t="s">
        <v>1533</v>
      </c>
    </row>
    <row r="314" spans="1:22" ht="12.95" customHeight="1" x14ac:dyDescent="0.2">
      <c r="A314" s="274">
        <v>5379</v>
      </c>
      <c r="B314" s="241" t="str">
        <f t="shared" si="32"/>
        <v>GA</v>
      </c>
      <c r="C314" s="243" t="str">
        <f t="shared" si="33"/>
        <v/>
      </c>
      <c r="D314" s="275" t="s">
        <v>1915</v>
      </c>
      <c r="E314" s="214" t="str">
        <f t="shared" si="34"/>
        <v>GA</v>
      </c>
      <c r="F314" s="242">
        <f t="shared" si="31"/>
        <v>5379</v>
      </c>
      <c r="G314" s="274">
        <v>500</v>
      </c>
      <c r="H314" s="241" t="str">
        <f t="shared" si="36"/>
        <v xml:space="preserve">Gilpin, Amber </v>
      </c>
      <c r="I314" s="241" t="s">
        <v>849</v>
      </c>
      <c r="L314" s="351" t="str">
        <f t="shared" si="35"/>
        <v>&amp; PAM UBALDO</v>
      </c>
      <c r="M314" s="512">
        <v>5438</v>
      </c>
      <c r="N314" s="511" t="s">
        <v>1894</v>
      </c>
      <c r="O314" s="511" t="s">
        <v>1895</v>
      </c>
      <c r="P314" s="512" t="s">
        <v>701</v>
      </c>
      <c r="T314" s="348">
        <v>5545</v>
      </c>
      <c r="U314" s="348" t="s">
        <v>1541</v>
      </c>
      <c r="V314" s="348" t="s">
        <v>1426</v>
      </c>
    </row>
    <row r="315" spans="1:22" ht="12.95" customHeight="1" x14ac:dyDescent="0.2">
      <c r="A315" s="274">
        <v>5380</v>
      </c>
      <c r="B315" s="241" t="str">
        <f t="shared" si="32"/>
        <v>SJ</v>
      </c>
      <c r="C315" s="243" t="str">
        <f t="shared" si="33"/>
        <v/>
      </c>
      <c r="D315" s="275" t="s">
        <v>476</v>
      </c>
      <c r="E315" s="214" t="str">
        <f t="shared" si="34"/>
        <v>SJ</v>
      </c>
      <c r="F315" s="242">
        <f t="shared" si="31"/>
        <v>5380</v>
      </c>
      <c r="G315" s="264">
        <v>500</v>
      </c>
      <c r="H315" s="241" t="str">
        <f t="shared" si="36"/>
        <v xml:space="preserve">Scott, Jeremy </v>
      </c>
      <c r="I315" s="241" t="s">
        <v>849</v>
      </c>
      <c r="L315" s="351" t="str">
        <f t="shared" si="35"/>
        <v>DAVID UDOKO</v>
      </c>
      <c r="M315" s="512">
        <v>5177</v>
      </c>
      <c r="N315" s="511" t="s">
        <v>1551</v>
      </c>
      <c r="O315" s="511" t="s">
        <v>1433</v>
      </c>
      <c r="P315" s="512" t="s">
        <v>701</v>
      </c>
      <c r="T315" s="348">
        <v>5162</v>
      </c>
      <c r="U315" s="348" t="s">
        <v>1542</v>
      </c>
      <c r="V315" s="348" t="s">
        <v>1427</v>
      </c>
    </row>
    <row r="316" spans="1:22" ht="12.95" customHeight="1" x14ac:dyDescent="0.2">
      <c r="A316" s="274">
        <v>5381</v>
      </c>
      <c r="B316" s="241" t="str">
        <f t="shared" si="32"/>
        <v>HJ</v>
      </c>
      <c r="C316" s="243" t="str">
        <f t="shared" si="33"/>
        <v/>
      </c>
      <c r="D316" s="275" t="s">
        <v>1911</v>
      </c>
      <c r="E316" s="214" t="str">
        <f t="shared" si="34"/>
        <v>HJ</v>
      </c>
      <c r="F316" s="242">
        <f t="shared" si="31"/>
        <v>5381</v>
      </c>
      <c r="G316" s="274">
        <v>500</v>
      </c>
      <c r="H316" s="241" t="str">
        <f t="shared" si="36"/>
        <v xml:space="preserve">Howard, Judith </v>
      </c>
      <c r="I316" s="241" t="s">
        <v>1912</v>
      </c>
      <c r="L316" s="351" t="str">
        <f t="shared" si="35"/>
        <v>&amp; MARGREET VAN OUWERKERK</v>
      </c>
      <c r="M316" s="512">
        <v>5217</v>
      </c>
      <c r="N316" s="511" t="s">
        <v>1552</v>
      </c>
      <c r="O316" s="511" t="s">
        <v>1896</v>
      </c>
      <c r="P316" s="512" t="s">
        <v>701</v>
      </c>
      <c r="T316" s="348">
        <v>5221</v>
      </c>
      <c r="U316" s="348" t="s">
        <v>1543</v>
      </c>
      <c r="V316" s="348" t="s">
        <v>1428</v>
      </c>
    </row>
    <row r="317" spans="1:22" ht="12.95" customHeight="1" x14ac:dyDescent="0.2">
      <c r="A317" s="274">
        <v>5383</v>
      </c>
      <c r="B317" s="241" t="str">
        <f t="shared" si="32"/>
        <v>GE</v>
      </c>
      <c r="C317" s="243" t="str">
        <f t="shared" si="33"/>
        <v/>
      </c>
      <c r="D317" s="275" t="s">
        <v>373</v>
      </c>
      <c r="E317" s="214" t="str">
        <f t="shared" si="34"/>
        <v>GE</v>
      </c>
      <c r="F317" s="242">
        <f t="shared" si="31"/>
        <v>5383</v>
      </c>
      <c r="G317" s="264">
        <v>500</v>
      </c>
      <c r="H317" s="241" t="str">
        <f t="shared" si="36"/>
        <v xml:space="preserve">Godwin, Elizabeth </v>
      </c>
      <c r="I317" s="241" t="s">
        <v>849</v>
      </c>
      <c r="L317" s="351" t="str">
        <f t="shared" si="35"/>
        <v>VAN WAGONEN</v>
      </c>
      <c r="M317" s="512"/>
      <c r="N317" s="511" t="s">
        <v>1553</v>
      </c>
      <c r="O317" s="511" t="s">
        <v>1435</v>
      </c>
      <c r="P317" s="512" t="s">
        <v>701</v>
      </c>
      <c r="T317" s="348">
        <v>5443</v>
      </c>
      <c r="U317" s="348" t="s">
        <v>1544</v>
      </c>
      <c r="V317" s="348" t="s">
        <v>1429</v>
      </c>
    </row>
    <row r="318" spans="1:22" ht="12.95" customHeight="1" x14ac:dyDescent="0.2">
      <c r="A318" s="274">
        <v>5384</v>
      </c>
      <c r="B318" s="241" t="str">
        <f t="shared" si="32"/>
        <v>GS</v>
      </c>
      <c r="C318" s="243" t="str">
        <f t="shared" si="33"/>
        <v/>
      </c>
      <c r="D318" s="275" t="s">
        <v>220</v>
      </c>
      <c r="E318" s="214" t="str">
        <f t="shared" si="34"/>
        <v>GS</v>
      </c>
      <c r="F318" s="242">
        <f t="shared" si="31"/>
        <v>5384</v>
      </c>
      <c r="G318" s="264">
        <v>500</v>
      </c>
      <c r="H318" s="241" t="str">
        <f t="shared" si="36"/>
        <v xml:space="preserve">Godwin Special </v>
      </c>
      <c r="I318" s="241" t="s">
        <v>848</v>
      </c>
      <c r="L318" s="351" t="str">
        <f t="shared" si="35"/>
        <v>ANN VEST</v>
      </c>
      <c r="M318" s="512">
        <v>5640</v>
      </c>
      <c r="N318" s="511" t="s">
        <v>832</v>
      </c>
      <c r="O318" s="511" t="s">
        <v>1897</v>
      </c>
      <c r="P318" s="512" t="s">
        <v>701</v>
      </c>
      <c r="T318" s="348">
        <v>5704</v>
      </c>
      <c r="U318" s="348" t="s">
        <v>1545</v>
      </c>
      <c r="V318" s="348" t="s">
        <v>1030</v>
      </c>
    </row>
    <row r="319" spans="1:22" ht="12.95" customHeight="1" x14ac:dyDescent="0.2">
      <c r="A319" s="274">
        <v>5385</v>
      </c>
      <c r="B319" s="241" t="str">
        <f t="shared" si="32"/>
        <v>HS</v>
      </c>
      <c r="C319" s="243" t="str">
        <f t="shared" si="33"/>
        <v/>
      </c>
      <c r="D319" s="275" t="s">
        <v>222</v>
      </c>
      <c r="E319" s="214" t="str">
        <f t="shared" si="34"/>
        <v>HS</v>
      </c>
      <c r="F319" s="242">
        <f t="shared" si="31"/>
        <v>5385</v>
      </c>
      <c r="G319" s="264">
        <v>500</v>
      </c>
      <c r="H319" s="241" t="str">
        <f t="shared" si="36"/>
        <v xml:space="preserve">Hadley Special </v>
      </c>
      <c r="I319" s="241" t="s">
        <v>848</v>
      </c>
      <c r="L319" s="351" t="str">
        <f t="shared" si="35"/>
        <v>VOTH</v>
      </c>
      <c r="M319" s="512">
        <v>5226</v>
      </c>
      <c r="N319" s="511" t="s">
        <v>1624</v>
      </c>
      <c r="O319" s="511" t="s">
        <v>1898</v>
      </c>
      <c r="P319" s="512" t="s">
        <v>701</v>
      </c>
      <c r="T319" s="348">
        <v>5652</v>
      </c>
      <c r="U319" s="348" t="s">
        <v>1546</v>
      </c>
      <c r="V319" s="348" t="s">
        <v>1430</v>
      </c>
    </row>
    <row r="320" spans="1:22" ht="12.95" customHeight="1" x14ac:dyDescent="0.2">
      <c r="A320" s="274">
        <v>5386</v>
      </c>
      <c r="B320" s="241" t="str">
        <f t="shared" si="32"/>
        <v>HB</v>
      </c>
      <c r="C320" s="243" t="str">
        <f t="shared" si="33"/>
        <v/>
      </c>
      <c r="D320" s="275" t="s">
        <v>378</v>
      </c>
      <c r="E320" s="214" t="str">
        <f t="shared" si="34"/>
        <v>HB</v>
      </c>
      <c r="F320" s="242">
        <f t="shared" si="31"/>
        <v>5386</v>
      </c>
      <c r="G320" s="264">
        <v>500</v>
      </c>
      <c r="H320" s="241" t="str">
        <f t="shared" si="36"/>
        <v xml:space="preserve">Hadley, Buell </v>
      </c>
      <c r="I320" s="241" t="s">
        <v>849</v>
      </c>
      <c r="L320" s="351" t="str">
        <f t="shared" si="35"/>
        <v>WALDIE</v>
      </c>
      <c r="M320" s="512">
        <v>3200</v>
      </c>
      <c r="N320" s="511" t="s">
        <v>1899</v>
      </c>
      <c r="O320" s="511" t="s">
        <v>1900</v>
      </c>
      <c r="P320" s="512" t="s">
        <v>701</v>
      </c>
      <c r="T320" s="348">
        <v>3100</v>
      </c>
      <c r="U320" s="348" t="s">
        <v>1547</v>
      </c>
      <c r="V320" s="348" t="s">
        <v>517</v>
      </c>
    </row>
    <row r="321" spans="1:22" ht="12.95" customHeight="1" x14ac:dyDescent="0.2">
      <c r="A321" s="274">
        <v>5387</v>
      </c>
      <c r="B321" s="241" t="str">
        <f t="shared" si="32"/>
        <v>MJ</v>
      </c>
      <c r="C321" s="243" t="str">
        <f t="shared" si="33"/>
        <v/>
      </c>
      <c r="D321" s="275" t="s">
        <v>243</v>
      </c>
      <c r="E321" s="214" t="str">
        <f t="shared" si="34"/>
        <v>MJ</v>
      </c>
      <c r="F321" s="242">
        <f t="shared" si="31"/>
        <v>5387</v>
      </c>
      <c r="G321" s="264">
        <v>500</v>
      </c>
      <c r="H321" s="241" t="str">
        <f t="shared" si="36"/>
        <v xml:space="preserve">Moseley, Jennifer </v>
      </c>
      <c r="I321" s="241" t="s">
        <v>849</v>
      </c>
      <c r="L321" s="351" t="str">
        <f t="shared" si="35"/>
        <v>WASHINGTON</v>
      </c>
      <c r="M321" s="512">
        <v>5916</v>
      </c>
      <c r="N321" s="511" t="s">
        <v>1555</v>
      </c>
      <c r="O321" s="511" t="s">
        <v>1438</v>
      </c>
      <c r="P321" s="512" t="s">
        <v>701</v>
      </c>
      <c r="T321" s="348">
        <v>5612</v>
      </c>
      <c r="U321" s="348" t="s">
        <v>1548</v>
      </c>
      <c r="V321" s="348" t="s">
        <v>1431</v>
      </c>
    </row>
    <row r="322" spans="1:22" ht="12.95" customHeight="1" x14ac:dyDescent="0.2">
      <c r="A322" s="274">
        <v>5388</v>
      </c>
      <c r="B322" s="241" t="str">
        <f t="shared" si="32"/>
        <v>SS</v>
      </c>
      <c r="C322" s="243" t="str">
        <f t="shared" si="33"/>
        <v/>
      </c>
      <c r="D322" s="275" t="s">
        <v>714</v>
      </c>
      <c r="E322" s="214" t="str">
        <f t="shared" si="34"/>
        <v>SS</v>
      </c>
      <c r="F322" s="242">
        <f t="shared" si="31"/>
        <v>5388</v>
      </c>
      <c r="G322" s="264">
        <v>500</v>
      </c>
      <c r="H322" s="241" t="str">
        <f t="shared" si="36"/>
        <v xml:space="preserve">Song, Si-Chun </v>
      </c>
      <c r="I322" s="241" t="s">
        <v>849</v>
      </c>
      <c r="L322" s="351" t="str">
        <f t="shared" si="35"/>
        <v>&amp; MAUDIE WATSON</v>
      </c>
      <c r="M322" s="512">
        <v>5772</v>
      </c>
      <c r="N322" s="511" t="s">
        <v>1901</v>
      </c>
      <c r="O322" s="511" t="s">
        <v>1902</v>
      </c>
      <c r="P322" s="512" t="s">
        <v>701</v>
      </c>
      <c r="T322" s="348">
        <v>5356</v>
      </c>
      <c r="U322" s="348" t="s">
        <v>1549</v>
      </c>
      <c r="V322" s="348" t="s">
        <v>522</v>
      </c>
    </row>
    <row r="323" spans="1:22" ht="12.95" customHeight="1" x14ac:dyDescent="0.2">
      <c r="A323" s="274">
        <v>5389</v>
      </c>
      <c r="B323" s="241" t="str">
        <f t="shared" si="32"/>
        <v>PC</v>
      </c>
      <c r="C323" s="243" t="str">
        <f t="shared" si="33"/>
        <v/>
      </c>
      <c r="D323" s="275" t="s">
        <v>1919</v>
      </c>
      <c r="E323" s="214" t="str">
        <f t="shared" si="34"/>
        <v>PC</v>
      </c>
      <c r="F323" s="242">
        <f t="shared" si="31"/>
        <v>5389</v>
      </c>
      <c r="G323" s="274">
        <v>500</v>
      </c>
      <c r="H323" s="241" t="str">
        <f t="shared" si="36"/>
        <v xml:space="preserve">Petrick, Chris </v>
      </c>
      <c r="I323" s="241" t="s">
        <v>849</v>
      </c>
      <c r="L323" s="351" t="str">
        <f t="shared" si="35"/>
        <v>WEBSTER</v>
      </c>
      <c r="M323" s="512">
        <v>5795</v>
      </c>
      <c r="N323" s="511" t="s">
        <v>1557</v>
      </c>
      <c r="O323" s="511" t="s">
        <v>787</v>
      </c>
      <c r="P323" s="512" t="s">
        <v>701</v>
      </c>
      <c r="T323" s="348">
        <v>5438</v>
      </c>
      <c r="U323" s="348" t="s">
        <v>1550</v>
      </c>
      <c r="V323" s="348" t="s">
        <v>1432</v>
      </c>
    </row>
    <row r="324" spans="1:22" ht="12.95" customHeight="1" x14ac:dyDescent="0.2">
      <c r="A324" s="274">
        <v>5391</v>
      </c>
      <c r="B324" s="241" t="str">
        <f t="shared" si="32"/>
        <v>AV</v>
      </c>
      <c r="C324" s="243" t="str">
        <f t="shared" si="33"/>
        <v/>
      </c>
      <c r="D324" s="275" t="s">
        <v>303</v>
      </c>
      <c r="E324" s="214" t="str">
        <f t="shared" si="34"/>
        <v>AV</v>
      </c>
      <c r="F324" s="242">
        <f t="shared" si="31"/>
        <v>5391</v>
      </c>
      <c r="G324" s="264">
        <v>500</v>
      </c>
      <c r="H324" s="241" t="str">
        <f t="shared" si="36"/>
        <v xml:space="preserve">Althouse, Valerie </v>
      </c>
      <c r="I324" s="241" t="s">
        <v>849</v>
      </c>
      <c r="L324" s="351" t="str">
        <f t="shared" si="35"/>
        <v>WIECK</v>
      </c>
      <c r="M324" s="512">
        <v>5836</v>
      </c>
      <c r="N324" s="511" t="s">
        <v>1558</v>
      </c>
      <c r="O324" s="511" t="s">
        <v>1444</v>
      </c>
      <c r="P324" s="512" t="s">
        <v>701</v>
      </c>
      <c r="T324" s="348">
        <v>5177</v>
      </c>
      <c r="U324" s="348" t="s">
        <v>1551</v>
      </c>
      <c r="V324" s="348" t="s">
        <v>1433</v>
      </c>
    </row>
    <row r="325" spans="1:22" ht="12.95" customHeight="1" x14ac:dyDescent="0.2">
      <c r="A325" s="274">
        <v>5392</v>
      </c>
      <c r="B325" s="241" t="str">
        <f t="shared" si="32"/>
        <v>HF</v>
      </c>
      <c r="C325" s="243" t="str">
        <f t="shared" si="33"/>
        <v/>
      </c>
      <c r="D325" s="275" t="s">
        <v>392</v>
      </c>
      <c r="E325" s="214" t="str">
        <f t="shared" si="34"/>
        <v>HF</v>
      </c>
      <c r="F325" s="242">
        <f t="shared" si="31"/>
        <v>5392</v>
      </c>
      <c r="G325" s="264">
        <v>500</v>
      </c>
      <c r="H325" s="241" t="str">
        <f t="shared" si="36"/>
        <v xml:space="preserve">Hutton, Frank </v>
      </c>
      <c r="I325" s="241" t="s">
        <v>849</v>
      </c>
      <c r="L325" s="351" t="str">
        <f t="shared" si="35"/>
        <v>WEIDLER</v>
      </c>
      <c r="M325" s="512">
        <v>5399</v>
      </c>
      <c r="N325" s="511" t="s">
        <v>1559</v>
      </c>
      <c r="O325" s="511" t="s">
        <v>882</v>
      </c>
      <c r="P325" s="512" t="s">
        <v>701</v>
      </c>
      <c r="T325" s="348">
        <v>5217</v>
      </c>
      <c r="U325" s="348" t="s">
        <v>1552</v>
      </c>
      <c r="V325" s="348" t="s">
        <v>1434</v>
      </c>
    </row>
    <row r="326" spans="1:22" ht="12.95" customHeight="1" x14ac:dyDescent="0.2">
      <c r="A326" s="274">
        <v>5393</v>
      </c>
      <c r="B326" s="241" t="str">
        <f t="shared" si="32"/>
        <v>NJ</v>
      </c>
      <c r="C326" s="243" t="str">
        <f t="shared" si="33"/>
        <v/>
      </c>
      <c r="D326" s="275" t="s">
        <v>822</v>
      </c>
      <c r="E326" s="214" t="str">
        <f t="shared" si="34"/>
        <v>NJ</v>
      </c>
      <c r="F326" s="242">
        <f t="shared" si="31"/>
        <v>5393</v>
      </c>
      <c r="G326" s="264">
        <v>500</v>
      </c>
      <c r="H326" s="241" t="str">
        <f t="shared" si="36"/>
        <v xml:space="preserve">Nordtvedt, Joel &amp; Marybeth </v>
      </c>
      <c r="I326" s="241" t="s">
        <v>849</v>
      </c>
      <c r="L326" s="351" t="str">
        <f t="shared" si="35"/>
        <v>WEIR</v>
      </c>
      <c r="M326" s="512">
        <v>5918</v>
      </c>
      <c r="N326" s="511" t="s">
        <v>1560</v>
      </c>
      <c r="O326" s="511" t="s">
        <v>1441</v>
      </c>
      <c r="P326" s="512" t="s">
        <v>701</v>
      </c>
      <c r="T326" s="348" t="s">
        <v>1122</v>
      </c>
      <c r="U326" s="348" t="s">
        <v>1553</v>
      </c>
      <c r="V326" s="348" t="s">
        <v>1435</v>
      </c>
    </row>
    <row r="327" spans="1:22" ht="12.95" customHeight="1" x14ac:dyDescent="0.2">
      <c r="A327" s="274">
        <v>5394</v>
      </c>
      <c r="B327" s="241" t="str">
        <f t="shared" si="32"/>
        <v>AJ</v>
      </c>
      <c r="C327" s="243" t="str">
        <f t="shared" si="33"/>
        <v/>
      </c>
      <c r="D327" s="275" t="s">
        <v>306</v>
      </c>
      <c r="E327" s="214" t="str">
        <f t="shared" si="34"/>
        <v>AJ</v>
      </c>
      <c r="F327" s="242">
        <f t="shared" si="31"/>
        <v>5394</v>
      </c>
      <c r="G327" s="274">
        <v>500</v>
      </c>
      <c r="H327" s="241" t="str">
        <f t="shared" si="36"/>
        <v xml:space="preserve">Anthony, Jeff </v>
      </c>
      <c r="I327" s="241" t="s">
        <v>849</v>
      </c>
      <c r="L327" s="351" t="str">
        <f t="shared" si="35"/>
        <v>&amp; AUDREY WELCH</v>
      </c>
      <c r="M327" s="512">
        <v>5485</v>
      </c>
      <c r="N327" s="511" t="s">
        <v>1903</v>
      </c>
      <c r="O327" s="511" t="s">
        <v>1442</v>
      </c>
      <c r="P327" s="512" t="s">
        <v>701</v>
      </c>
      <c r="T327" s="348" t="s">
        <v>1122</v>
      </c>
      <c r="U327" s="348" t="s">
        <v>1554</v>
      </c>
      <c r="V327" s="348" t="s">
        <v>1436</v>
      </c>
    </row>
    <row r="328" spans="1:22" ht="12.95" customHeight="1" x14ac:dyDescent="0.2">
      <c r="A328" s="274">
        <v>5395</v>
      </c>
      <c r="B328" s="241" t="str">
        <f t="shared" si="32"/>
        <v>KL</v>
      </c>
      <c r="C328" s="243" t="str">
        <f t="shared" si="33"/>
        <v/>
      </c>
      <c r="D328" s="275" t="s">
        <v>408</v>
      </c>
      <c r="E328" s="214" t="str">
        <f t="shared" si="34"/>
        <v>KL</v>
      </c>
      <c r="F328" s="242">
        <f t="shared" ref="F328:F391" si="37">A328</f>
        <v>5395</v>
      </c>
      <c r="G328" s="264">
        <v>500</v>
      </c>
      <c r="H328" s="241" t="str">
        <f t="shared" si="36"/>
        <v xml:space="preserve">Kragbe, Lisa </v>
      </c>
      <c r="I328" s="241" t="s">
        <v>849</v>
      </c>
      <c r="L328" s="351" t="str">
        <f t="shared" si="35"/>
        <v>WESTON</v>
      </c>
      <c r="M328" s="512">
        <v>5362</v>
      </c>
      <c r="N328" s="511" t="s">
        <v>1562</v>
      </c>
      <c r="O328" s="511" t="s">
        <v>656</v>
      </c>
      <c r="P328" s="512" t="s">
        <v>701</v>
      </c>
      <c r="T328" s="348">
        <v>5226</v>
      </c>
      <c r="U328" s="348" t="s">
        <v>1624</v>
      </c>
      <c r="V328" s="348" t="s">
        <v>1625</v>
      </c>
    </row>
    <row r="329" spans="1:22" ht="12.95" customHeight="1" x14ac:dyDescent="0.2">
      <c r="A329" s="274">
        <v>5396</v>
      </c>
      <c r="B329" s="241" t="str">
        <f t="shared" si="32"/>
        <v>EV</v>
      </c>
      <c r="C329" s="243" t="str">
        <f t="shared" si="33"/>
        <v/>
      </c>
      <c r="D329" s="275" t="s">
        <v>823</v>
      </c>
      <c r="E329" s="214" t="str">
        <f t="shared" si="34"/>
        <v>EV</v>
      </c>
      <c r="F329" s="242">
        <f t="shared" si="37"/>
        <v>5396</v>
      </c>
      <c r="G329" s="264">
        <v>500</v>
      </c>
      <c r="H329" s="241" t="str">
        <f t="shared" si="36"/>
        <v xml:space="preserve">Easton, Valerie </v>
      </c>
      <c r="I329" s="241" t="s">
        <v>849</v>
      </c>
      <c r="L329" s="351" t="str">
        <f t="shared" si="35"/>
        <v>WHITE</v>
      </c>
      <c r="M329" s="512"/>
      <c r="N329" s="511" t="s">
        <v>1563</v>
      </c>
      <c r="O329" s="511" t="s">
        <v>707</v>
      </c>
      <c r="P329" s="512" t="s">
        <v>701</v>
      </c>
      <c r="T329" s="347">
        <v>5640</v>
      </c>
      <c r="U329" s="347" t="s">
        <v>832</v>
      </c>
      <c r="V329" s="348" t="s">
        <v>1437</v>
      </c>
    </row>
    <row r="330" spans="1:22" ht="12.95" customHeight="1" x14ac:dyDescent="0.2">
      <c r="A330" s="274">
        <v>5398</v>
      </c>
      <c r="B330" s="241" t="str">
        <f t="shared" si="32"/>
        <v>LD</v>
      </c>
      <c r="C330" s="243" t="str">
        <f t="shared" si="33"/>
        <v/>
      </c>
      <c r="D330" s="275" t="s">
        <v>419</v>
      </c>
      <c r="E330" s="214" t="str">
        <f t="shared" si="34"/>
        <v>LD</v>
      </c>
      <c r="F330" s="242">
        <f t="shared" si="37"/>
        <v>5398</v>
      </c>
      <c r="G330" s="274">
        <v>500</v>
      </c>
      <c r="H330" s="241" t="str">
        <f t="shared" si="36"/>
        <v xml:space="preserve">Lim, Danny </v>
      </c>
      <c r="I330" s="241" t="s">
        <v>849</v>
      </c>
      <c r="L330" s="351" t="str">
        <f t="shared" si="35"/>
        <v>&amp; JENNY WHITMAN</v>
      </c>
      <c r="M330" s="512">
        <v>5368</v>
      </c>
      <c r="N330" s="511" t="s">
        <v>1564</v>
      </c>
      <c r="O330" s="511" t="s">
        <v>1443</v>
      </c>
      <c r="P330" s="512" t="s">
        <v>704</v>
      </c>
      <c r="T330" s="348">
        <v>5916</v>
      </c>
      <c r="U330" s="348" t="s">
        <v>1555</v>
      </c>
      <c r="V330" s="348" t="s">
        <v>1438</v>
      </c>
    </row>
    <row r="331" spans="1:22" ht="12.95" customHeight="1" x14ac:dyDescent="0.2">
      <c r="A331" s="274">
        <v>5399</v>
      </c>
      <c r="B331" s="241" t="str">
        <f t="shared" si="32"/>
        <v>WJ</v>
      </c>
      <c r="C331" s="243" t="str">
        <f t="shared" si="33"/>
        <v/>
      </c>
      <c r="D331" s="275" t="s">
        <v>834</v>
      </c>
      <c r="E331" s="214" t="str">
        <f t="shared" si="34"/>
        <v>WJ</v>
      </c>
      <c r="F331" s="242">
        <f t="shared" si="37"/>
        <v>5399</v>
      </c>
      <c r="G331" s="264">
        <v>500</v>
      </c>
      <c r="H331" s="241" t="str">
        <f t="shared" si="36"/>
        <v xml:space="preserve">Weidler, John </v>
      </c>
      <c r="I331" s="241" t="s">
        <v>849</v>
      </c>
      <c r="L331" s="351" t="str">
        <f t="shared" si="35"/>
        <v xml:space="preserve"> Q Williams</v>
      </c>
      <c r="M331" s="512">
        <v>5338</v>
      </c>
      <c r="N331" s="511" t="s">
        <v>1904</v>
      </c>
      <c r="O331" s="511" t="s">
        <v>1445</v>
      </c>
      <c r="P331" s="512" t="s">
        <v>701</v>
      </c>
      <c r="T331" s="348">
        <v>5772</v>
      </c>
      <c r="U331" s="348" t="s">
        <v>1556</v>
      </c>
      <c r="V331" s="348" t="s">
        <v>1439</v>
      </c>
    </row>
    <row r="332" spans="1:22" ht="12.95" customHeight="1" x14ac:dyDescent="0.2">
      <c r="A332" s="274">
        <v>5402</v>
      </c>
      <c r="B332" s="241" t="str">
        <f t="shared" si="32"/>
        <v>CM</v>
      </c>
      <c r="C332" s="243" t="str">
        <f t="shared" si="33"/>
        <v>Ingram</v>
      </c>
      <c r="D332" s="275" t="s">
        <v>950</v>
      </c>
      <c r="E332" s="214" t="str">
        <f t="shared" si="34"/>
        <v>CM</v>
      </c>
      <c r="F332" s="242">
        <f t="shared" si="37"/>
        <v>5402</v>
      </c>
      <c r="G332" s="274">
        <v>500</v>
      </c>
      <c r="H332" s="241" t="str">
        <f t="shared" si="36"/>
        <v xml:space="preserve">Chicago Mobilization - </v>
      </c>
      <c r="I332" s="241" t="s">
        <v>847</v>
      </c>
      <c r="L332" s="351" t="str">
        <f t="shared" si="35"/>
        <v>WILLIS</v>
      </c>
      <c r="M332" s="512">
        <v>5620</v>
      </c>
      <c r="N332" s="511" t="s">
        <v>1566</v>
      </c>
      <c r="O332" s="511" t="s">
        <v>1446</v>
      </c>
      <c r="P332" s="512" t="s">
        <v>701</v>
      </c>
      <c r="T332" s="348">
        <v>5795</v>
      </c>
      <c r="U332" s="348" t="s">
        <v>1557</v>
      </c>
      <c r="V332" s="348" t="s">
        <v>787</v>
      </c>
    </row>
    <row r="333" spans="1:22" ht="12.95" customHeight="1" x14ac:dyDescent="0.2">
      <c r="A333" s="274">
        <v>5404</v>
      </c>
      <c r="B333" s="241" t="str">
        <f t="shared" si="32"/>
        <v>EL</v>
      </c>
      <c r="C333" s="243" t="str">
        <f t="shared" si="33"/>
        <v/>
      </c>
      <c r="D333" s="275" t="s">
        <v>361</v>
      </c>
      <c r="E333" s="214" t="str">
        <f t="shared" si="34"/>
        <v>EL</v>
      </c>
      <c r="F333" s="242">
        <f t="shared" si="37"/>
        <v>5404</v>
      </c>
      <c r="G333" s="264">
        <v>500</v>
      </c>
      <c r="H333" s="241" t="str">
        <f t="shared" si="36"/>
        <v xml:space="preserve">Emery, Lesley &amp; Wayne </v>
      </c>
      <c r="I333" s="241" t="s">
        <v>849</v>
      </c>
      <c r="L333" s="351" t="str">
        <f t="shared" si="35"/>
        <v>and RACHEL WILSON</v>
      </c>
      <c r="M333" s="512">
        <v>5222</v>
      </c>
      <c r="N333" s="511" t="s">
        <v>1600</v>
      </c>
      <c r="O333" s="511" t="s">
        <v>1905</v>
      </c>
      <c r="P333" s="512" t="s">
        <v>701</v>
      </c>
      <c r="T333" s="348">
        <v>5836</v>
      </c>
      <c r="U333" s="348" t="s">
        <v>1558</v>
      </c>
      <c r="V333" s="348" t="s">
        <v>1444</v>
      </c>
    </row>
    <row r="334" spans="1:22" ht="12.95" customHeight="1" x14ac:dyDescent="0.2">
      <c r="A334" s="274">
        <v>5407</v>
      </c>
      <c r="B334" s="241" t="str">
        <f t="shared" si="32"/>
        <v>HJ</v>
      </c>
      <c r="C334" s="243" t="str">
        <f t="shared" si="33"/>
        <v/>
      </c>
      <c r="D334" s="275" t="s">
        <v>389</v>
      </c>
      <c r="E334" s="214" t="str">
        <f t="shared" si="34"/>
        <v>HJ</v>
      </c>
      <c r="F334" s="242">
        <f t="shared" si="37"/>
        <v>5407</v>
      </c>
      <c r="G334" s="264">
        <v>500</v>
      </c>
      <c r="H334" s="241" t="str">
        <f t="shared" si="36"/>
        <v xml:space="preserve">Helmen, Jerry </v>
      </c>
      <c r="I334" s="241" t="s">
        <v>849</v>
      </c>
      <c r="L334" s="351" t="str">
        <f t="shared" si="35"/>
        <v>WITJANDRA</v>
      </c>
      <c r="M334" s="512">
        <v>5469</v>
      </c>
      <c r="N334" s="511" t="s">
        <v>1567</v>
      </c>
      <c r="O334" s="511" t="s">
        <v>559</v>
      </c>
      <c r="P334" s="512" t="s">
        <v>701</v>
      </c>
      <c r="T334" s="348">
        <v>5399</v>
      </c>
      <c r="U334" s="348" t="s">
        <v>1559</v>
      </c>
      <c r="V334" s="348" t="s">
        <v>1440</v>
      </c>
    </row>
    <row r="335" spans="1:22" ht="12.95" customHeight="1" x14ac:dyDescent="0.2">
      <c r="A335" s="274">
        <v>5408</v>
      </c>
      <c r="B335" s="241" t="str">
        <f t="shared" si="32"/>
        <v>DC</v>
      </c>
      <c r="C335" s="243" t="str">
        <f t="shared" si="33"/>
        <v>bunyard</v>
      </c>
      <c r="D335" s="275" t="s">
        <v>1001</v>
      </c>
      <c r="E335" s="214" t="str">
        <f t="shared" si="34"/>
        <v>DC</v>
      </c>
      <c r="F335" s="242">
        <f t="shared" si="37"/>
        <v>5408</v>
      </c>
      <c r="G335" s="264">
        <v>500</v>
      </c>
      <c r="H335" s="241" t="str">
        <f t="shared" si="36"/>
        <v xml:space="preserve">Dallas, City of </v>
      </c>
      <c r="I335" s="241" t="s">
        <v>847</v>
      </c>
      <c r="L335" s="351" t="str">
        <f t="shared" si="35"/>
        <v>Wolf</v>
      </c>
      <c r="M335" s="512">
        <v>5218</v>
      </c>
      <c r="N335" s="511" t="s">
        <v>1621</v>
      </c>
      <c r="O335" s="511" t="s">
        <v>1622</v>
      </c>
      <c r="P335" s="512" t="s">
        <v>701</v>
      </c>
      <c r="T335" s="348">
        <v>5918</v>
      </c>
      <c r="U335" s="348" t="s">
        <v>1560</v>
      </c>
      <c r="V335" s="348" t="s">
        <v>1441</v>
      </c>
    </row>
    <row r="336" spans="1:22" ht="12.95" customHeight="1" x14ac:dyDescent="0.2">
      <c r="A336" s="274">
        <v>5409</v>
      </c>
      <c r="B336" s="241" t="str">
        <f t="shared" si="32"/>
        <v>DR</v>
      </c>
      <c r="C336" s="243" t="str">
        <f t="shared" si="33"/>
        <v>bunyard</v>
      </c>
      <c r="D336" s="275" t="s">
        <v>1002</v>
      </c>
      <c r="E336" s="214" t="str">
        <f t="shared" si="34"/>
        <v>DR</v>
      </c>
      <c r="F336" s="242">
        <f t="shared" si="37"/>
        <v>5409</v>
      </c>
      <c r="G336" s="264">
        <v>500</v>
      </c>
      <c r="H336" s="241" t="str">
        <f t="shared" si="36"/>
        <v xml:space="preserve">Dallas Retreat </v>
      </c>
      <c r="I336" s="241" t="s">
        <v>847</v>
      </c>
      <c r="L336" s="351" t="str">
        <f t="shared" si="35"/>
        <v>WOO</v>
      </c>
      <c r="M336" s="512">
        <v>5920</v>
      </c>
      <c r="N336" s="511" t="s">
        <v>1568</v>
      </c>
      <c r="O336" s="511" t="s">
        <v>1447</v>
      </c>
      <c r="P336" s="512" t="s">
        <v>701</v>
      </c>
      <c r="T336" s="348">
        <v>5485</v>
      </c>
      <c r="U336" s="348" t="s">
        <v>1561</v>
      </c>
      <c r="V336" s="348" t="s">
        <v>1442</v>
      </c>
    </row>
    <row r="337" spans="1:22" ht="12.95" customHeight="1" x14ac:dyDescent="0.2">
      <c r="A337" s="274">
        <v>5410</v>
      </c>
      <c r="B337" s="241" t="str">
        <f t="shared" si="32"/>
        <v>DC</v>
      </c>
      <c r="C337" s="243" t="str">
        <f t="shared" si="33"/>
        <v>bunyard</v>
      </c>
      <c r="D337" s="275" t="s">
        <v>1003</v>
      </c>
      <c r="E337" s="214" t="str">
        <f t="shared" si="34"/>
        <v>DC</v>
      </c>
      <c r="F337" s="242">
        <f t="shared" si="37"/>
        <v>5410</v>
      </c>
      <c r="G337" s="264">
        <v>500</v>
      </c>
      <c r="H337" s="241" t="str">
        <f t="shared" si="36"/>
        <v xml:space="preserve">Dallas City Events </v>
      </c>
      <c r="I337" s="241" t="s">
        <v>847</v>
      </c>
      <c r="L337" s="351" t="str">
        <f t="shared" si="35"/>
        <v>WOODS</v>
      </c>
      <c r="M337" s="512">
        <v>5526</v>
      </c>
      <c r="N337" s="511" t="s">
        <v>1642</v>
      </c>
      <c r="O337" s="511" t="s">
        <v>1906</v>
      </c>
      <c r="P337" s="512" t="s">
        <v>701</v>
      </c>
      <c r="T337" s="348">
        <v>5362</v>
      </c>
      <c r="U337" s="348" t="s">
        <v>1562</v>
      </c>
      <c r="V337" s="348" t="s">
        <v>656</v>
      </c>
    </row>
    <row r="338" spans="1:22" ht="12.95" customHeight="1" x14ac:dyDescent="0.2">
      <c r="A338" s="274">
        <v>5411</v>
      </c>
      <c r="B338" s="241" t="str">
        <f t="shared" si="32"/>
        <v>LD</v>
      </c>
      <c r="C338" s="243" t="str">
        <f t="shared" si="33"/>
        <v/>
      </c>
      <c r="D338" s="275" t="s">
        <v>424</v>
      </c>
      <c r="E338" s="214" t="str">
        <f t="shared" si="34"/>
        <v>LD</v>
      </c>
      <c r="F338" s="242">
        <f t="shared" si="37"/>
        <v>5411</v>
      </c>
      <c r="G338" s="264">
        <v>500</v>
      </c>
      <c r="H338" s="241" t="str">
        <f t="shared" si="36"/>
        <v xml:space="preserve">Lockwood, Daniel &amp; Toshiko </v>
      </c>
      <c r="I338" s="241" t="s">
        <v>849</v>
      </c>
      <c r="L338" s="351" t="str">
        <f t="shared" si="35"/>
        <v>WOODS</v>
      </c>
      <c r="M338" s="512">
        <v>5197</v>
      </c>
      <c r="N338" s="511" t="s">
        <v>1575</v>
      </c>
      <c r="O338" s="511" t="s">
        <v>643</v>
      </c>
      <c r="P338" s="512" t="s">
        <v>701</v>
      </c>
      <c r="T338" s="348" t="s">
        <v>1122</v>
      </c>
      <c r="U338" s="348" t="s">
        <v>1563</v>
      </c>
      <c r="V338" s="348" t="s">
        <v>707</v>
      </c>
    </row>
    <row r="339" spans="1:22" ht="12.95" customHeight="1" x14ac:dyDescent="0.2">
      <c r="A339" s="274">
        <v>5414</v>
      </c>
      <c r="B339" s="241" t="str">
        <f t="shared" si="32"/>
        <v>MS</v>
      </c>
      <c r="C339" s="243" t="str">
        <f t="shared" si="33"/>
        <v/>
      </c>
      <c r="D339" s="275" t="s">
        <v>434</v>
      </c>
      <c r="E339" s="214" t="str">
        <f t="shared" si="34"/>
        <v>MS</v>
      </c>
      <c r="F339" s="242">
        <f t="shared" si="37"/>
        <v>5414</v>
      </c>
      <c r="G339" s="264">
        <v>500</v>
      </c>
      <c r="H339" s="241" t="str">
        <f t="shared" si="36"/>
        <v xml:space="preserve">McKain Special </v>
      </c>
      <c r="I339" s="241" t="s">
        <v>849</v>
      </c>
      <c r="L339" s="351" t="str">
        <f t="shared" si="35"/>
        <v>&amp; ELIZABETH YABUKI</v>
      </c>
      <c r="M339" s="512">
        <v>5735</v>
      </c>
      <c r="N339" s="511" t="s">
        <v>1907</v>
      </c>
      <c r="O339" s="511" t="s">
        <v>1908</v>
      </c>
      <c r="P339" s="512" t="s">
        <v>701</v>
      </c>
      <c r="T339" s="348">
        <v>5368</v>
      </c>
      <c r="U339" s="348" t="s">
        <v>1564</v>
      </c>
      <c r="V339" s="348" t="s">
        <v>1443</v>
      </c>
    </row>
    <row r="340" spans="1:22" ht="12.95" customHeight="1" x14ac:dyDescent="0.2">
      <c r="A340" s="274">
        <v>5416</v>
      </c>
      <c r="B340" s="241" t="str">
        <f t="shared" si="32"/>
        <v>NS</v>
      </c>
      <c r="C340" s="243" t="str">
        <f t="shared" si="33"/>
        <v/>
      </c>
      <c r="D340" s="275" t="s">
        <v>246</v>
      </c>
      <c r="E340" s="214" t="str">
        <f t="shared" si="34"/>
        <v>NS</v>
      </c>
      <c r="F340" s="242">
        <f t="shared" si="37"/>
        <v>5416</v>
      </c>
      <c r="G340" s="264">
        <v>500</v>
      </c>
      <c r="H340" s="241" t="str">
        <f t="shared" si="36"/>
        <v xml:space="preserve">Notehelfer Special </v>
      </c>
      <c r="I340" s="241" t="s">
        <v>848</v>
      </c>
      <c r="L340" s="351" t="str">
        <f t="shared" si="35"/>
        <v>YOUNKIN</v>
      </c>
      <c r="M340" s="512">
        <v>5331</v>
      </c>
      <c r="N340" s="511" t="s">
        <v>1570</v>
      </c>
      <c r="O340" s="511" t="s">
        <v>535</v>
      </c>
      <c r="P340" s="512" t="s">
        <v>701</v>
      </c>
      <c r="T340" s="348">
        <v>5338</v>
      </c>
      <c r="U340" s="348" t="s">
        <v>1565</v>
      </c>
      <c r="V340" s="348" t="s">
        <v>1445</v>
      </c>
    </row>
    <row r="341" spans="1:22" ht="12.95" customHeight="1" x14ac:dyDescent="0.2">
      <c r="A341" s="274">
        <v>5417</v>
      </c>
      <c r="B341" s="241" t="str">
        <f t="shared" si="32"/>
        <v>NT</v>
      </c>
      <c r="C341" s="243" t="str">
        <f t="shared" si="33"/>
        <v/>
      </c>
      <c r="D341" s="275" t="s">
        <v>449</v>
      </c>
      <c r="E341" s="214" t="str">
        <f t="shared" si="34"/>
        <v>NT</v>
      </c>
      <c r="F341" s="242">
        <f t="shared" si="37"/>
        <v>5417</v>
      </c>
      <c r="G341" s="264">
        <v>500</v>
      </c>
      <c r="H341" s="241" t="str">
        <f t="shared" si="36"/>
        <v xml:space="preserve">Notehelfer, Tim &amp; Kim </v>
      </c>
      <c r="I341" s="241" t="s">
        <v>849</v>
      </c>
      <c r="L341" s="351" t="str">
        <f t="shared" si="35"/>
        <v>YU</v>
      </c>
      <c r="M341" s="512">
        <v>5661</v>
      </c>
      <c r="N341" s="511" t="s">
        <v>1571</v>
      </c>
      <c r="O341" s="511" t="s">
        <v>1449</v>
      </c>
      <c r="P341" s="512" t="s">
        <v>701</v>
      </c>
      <c r="T341" s="348">
        <v>5620</v>
      </c>
      <c r="U341" s="348" t="s">
        <v>1566</v>
      </c>
      <c r="V341" s="348" t="s">
        <v>1446</v>
      </c>
    </row>
    <row r="342" spans="1:22" ht="12.95" customHeight="1" x14ac:dyDescent="0.2">
      <c r="A342" s="274">
        <v>5419</v>
      </c>
      <c r="B342" s="241" t="str">
        <f t="shared" si="32"/>
        <v>SC</v>
      </c>
      <c r="C342" s="243" t="str">
        <f t="shared" si="33"/>
        <v>Shaw, Tovar</v>
      </c>
      <c r="D342" s="275" t="s">
        <v>1745</v>
      </c>
      <c r="E342" s="214" t="str">
        <f t="shared" si="34"/>
        <v>SC</v>
      </c>
      <c r="F342" s="242">
        <f t="shared" si="37"/>
        <v>5419</v>
      </c>
      <c r="G342" s="264">
        <v>500</v>
      </c>
      <c r="H342" s="241" t="str">
        <f t="shared" si="36"/>
        <v xml:space="preserve">South Central Chinese Ministry </v>
      </c>
      <c r="I342" s="241" t="s">
        <v>846</v>
      </c>
      <c r="L342" s="351" t="str">
        <f t="shared" si="35"/>
        <v>&amp; BECKY ZEIGLER</v>
      </c>
      <c r="M342" s="512">
        <v>5793</v>
      </c>
      <c r="N342" s="511" t="s">
        <v>1574</v>
      </c>
      <c r="O342" s="511" t="s">
        <v>1909</v>
      </c>
      <c r="P342" s="512" t="s">
        <v>701</v>
      </c>
      <c r="T342" s="348">
        <v>5222</v>
      </c>
      <c r="U342" s="348" t="s">
        <v>1600</v>
      </c>
      <c r="V342" s="348" t="s">
        <v>1601</v>
      </c>
    </row>
    <row r="343" spans="1:22" ht="12.95" customHeight="1" x14ac:dyDescent="0.2">
      <c r="A343" s="274">
        <v>5424</v>
      </c>
      <c r="B343" s="241" t="str">
        <f t="shared" si="32"/>
        <v>SM</v>
      </c>
      <c r="C343" s="243" t="str">
        <f t="shared" si="33"/>
        <v/>
      </c>
      <c r="D343" s="275" t="s">
        <v>1669</v>
      </c>
      <c r="E343" s="214" t="str">
        <f t="shared" si="34"/>
        <v>SM</v>
      </c>
      <c r="F343" s="242">
        <f t="shared" si="37"/>
        <v>5424</v>
      </c>
      <c r="G343" s="264">
        <v>500</v>
      </c>
      <c r="H343" s="241" t="str">
        <f t="shared" si="36"/>
        <v xml:space="preserve">Smucker, Matt &amp; Holly </v>
      </c>
      <c r="I343" s="241" t="s">
        <v>849</v>
      </c>
      <c r="L343" s="351" t="str">
        <f t="shared" si="35"/>
        <v>ZULL</v>
      </c>
      <c r="M343" s="512">
        <v>5481</v>
      </c>
      <c r="N343" s="511" t="s">
        <v>1572</v>
      </c>
      <c r="O343" s="511" t="s">
        <v>624</v>
      </c>
      <c r="P343" s="512" t="s">
        <v>701</v>
      </c>
      <c r="T343" s="348">
        <v>5469</v>
      </c>
      <c r="U343" s="348" t="s">
        <v>1567</v>
      </c>
      <c r="V343" s="348" t="s">
        <v>559</v>
      </c>
    </row>
    <row r="344" spans="1:22" ht="12.95" customHeight="1" x14ac:dyDescent="0.2">
      <c r="A344" s="274">
        <v>5425</v>
      </c>
      <c r="B344" s="241" t="str">
        <f t="shared" si="32"/>
        <v>SD</v>
      </c>
      <c r="C344" s="243" t="str">
        <f t="shared" si="33"/>
        <v/>
      </c>
      <c r="D344" s="275" t="s">
        <v>266</v>
      </c>
      <c r="E344" s="214" t="str">
        <f t="shared" si="34"/>
        <v>SD</v>
      </c>
      <c r="F344" s="242">
        <f t="shared" si="37"/>
        <v>5425</v>
      </c>
      <c r="G344" s="264">
        <v>500</v>
      </c>
      <c r="H344" s="241" t="str">
        <f t="shared" si="36"/>
        <v xml:space="preserve">Storms, David </v>
      </c>
      <c r="I344" s="241" t="s">
        <v>849</v>
      </c>
      <c r="L344" s="351"/>
      <c r="T344" s="352">
        <v>5218</v>
      </c>
      <c r="U344" s="352" t="s">
        <v>1621</v>
      </c>
      <c r="V344" s="352" t="s">
        <v>1623</v>
      </c>
    </row>
    <row r="345" spans="1:22" ht="12.95" customHeight="1" x14ac:dyDescent="0.2">
      <c r="A345" s="274">
        <v>5426</v>
      </c>
      <c r="B345" s="241" t="str">
        <f t="shared" si="32"/>
        <v>KS</v>
      </c>
      <c r="C345" s="243" t="str">
        <f t="shared" si="33"/>
        <v/>
      </c>
      <c r="D345" s="275" t="s">
        <v>405</v>
      </c>
      <c r="E345" s="214" t="str">
        <f t="shared" si="34"/>
        <v>KS</v>
      </c>
      <c r="F345" s="242">
        <f t="shared" si="37"/>
        <v>5426</v>
      </c>
      <c r="G345" s="264">
        <v>500</v>
      </c>
      <c r="H345" s="241" t="str">
        <f t="shared" si="36"/>
        <v xml:space="preserve">Killion Special </v>
      </c>
      <c r="I345" s="241" t="s">
        <v>848</v>
      </c>
      <c r="L345" s="351"/>
      <c r="T345" s="348">
        <v>5920</v>
      </c>
      <c r="U345" s="348" t="s">
        <v>1568</v>
      </c>
      <c r="V345" s="348" t="s">
        <v>1447</v>
      </c>
    </row>
    <row r="346" spans="1:22" ht="12.95" customHeight="1" x14ac:dyDescent="0.2">
      <c r="A346" s="274">
        <v>5427</v>
      </c>
      <c r="B346" s="241" t="str">
        <f t="shared" si="32"/>
        <v>NT</v>
      </c>
      <c r="C346" s="243" t="str">
        <f t="shared" si="33"/>
        <v/>
      </c>
      <c r="D346" s="275" t="s">
        <v>671</v>
      </c>
      <c r="E346" s="214" t="str">
        <f t="shared" si="34"/>
        <v>NT</v>
      </c>
      <c r="F346" s="242">
        <f t="shared" si="37"/>
        <v>5427</v>
      </c>
      <c r="G346" s="264">
        <v>500</v>
      </c>
      <c r="H346" s="241" t="str">
        <f t="shared" si="36"/>
        <v xml:space="preserve">Newbrander, Tim  &amp; Jacqueline </v>
      </c>
      <c r="I346" s="241" t="s">
        <v>849</v>
      </c>
      <c r="L346" s="351"/>
      <c r="T346" s="348">
        <v>5197</v>
      </c>
      <c r="U346" s="348" t="s">
        <v>1575</v>
      </c>
      <c r="V346" s="348" t="s">
        <v>643</v>
      </c>
    </row>
    <row r="347" spans="1:22" ht="12.95" customHeight="1" x14ac:dyDescent="0.2">
      <c r="A347" s="274">
        <v>5428</v>
      </c>
      <c r="B347" s="241" t="str">
        <f t="shared" si="32"/>
        <v>NJ</v>
      </c>
      <c r="C347" s="243" t="str">
        <f t="shared" si="33"/>
        <v/>
      </c>
      <c r="D347" s="275" t="s">
        <v>446</v>
      </c>
      <c r="E347" s="214" t="str">
        <f t="shared" si="34"/>
        <v>NJ</v>
      </c>
      <c r="F347" s="242">
        <f t="shared" si="37"/>
        <v>5428</v>
      </c>
      <c r="G347" s="264">
        <v>500</v>
      </c>
      <c r="H347" s="241" t="str">
        <f t="shared" si="36"/>
        <v xml:space="preserve">Newpher, Jeffrey </v>
      </c>
      <c r="I347" s="241" t="s">
        <v>849</v>
      </c>
      <c r="L347" s="351"/>
      <c r="T347" s="348">
        <v>5735</v>
      </c>
      <c r="U347" s="348" t="s">
        <v>1573</v>
      </c>
      <c r="V347" s="348" t="s">
        <v>1448</v>
      </c>
    </row>
    <row r="348" spans="1:22" ht="12.95" customHeight="1" x14ac:dyDescent="0.2">
      <c r="A348" s="274">
        <v>5429</v>
      </c>
      <c r="B348" s="241" t="str">
        <f t="shared" si="32"/>
        <v>YA</v>
      </c>
      <c r="C348" s="243" t="str">
        <f t="shared" si="33"/>
        <v/>
      </c>
      <c r="D348" s="275" t="s">
        <v>686</v>
      </c>
      <c r="E348" s="214" t="str">
        <f t="shared" si="34"/>
        <v>YA</v>
      </c>
      <c r="F348" s="242">
        <f t="shared" si="37"/>
        <v>5429</v>
      </c>
      <c r="G348" s="264">
        <v>500</v>
      </c>
      <c r="H348" s="241" t="str">
        <f t="shared" si="36"/>
        <v xml:space="preserve">York-Herjeczk, Anne </v>
      </c>
      <c r="I348" s="241" t="s">
        <v>849</v>
      </c>
      <c r="L348" s="351"/>
      <c r="T348" s="348">
        <v>5617</v>
      </c>
      <c r="U348" s="348" t="s">
        <v>1569</v>
      </c>
      <c r="V348" s="348" t="s">
        <v>883</v>
      </c>
    </row>
    <row r="349" spans="1:22" ht="12.95" customHeight="1" x14ac:dyDescent="0.2">
      <c r="A349" s="274">
        <v>5430</v>
      </c>
      <c r="B349" s="241" t="str">
        <f t="shared" si="32"/>
        <v>HS</v>
      </c>
      <c r="C349" s="243" t="str">
        <f t="shared" si="33"/>
        <v/>
      </c>
      <c r="D349" s="275" t="s">
        <v>382</v>
      </c>
      <c r="E349" s="214" t="str">
        <f t="shared" si="34"/>
        <v>HS</v>
      </c>
      <c r="F349" s="242">
        <f t="shared" si="37"/>
        <v>5430</v>
      </c>
      <c r="G349" s="264">
        <v>500</v>
      </c>
      <c r="H349" s="241" t="str">
        <f t="shared" si="36"/>
        <v xml:space="preserve">Hardy Special </v>
      </c>
      <c r="I349" s="241" t="s">
        <v>848</v>
      </c>
      <c r="L349" s="351"/>
      <c r="T349" s="348">
        <v>5331</v>
      </c>
      <c r="U349" s="348" t="s">
        <v>1570</v>
      </c>
      <c r="V349" s="348" t="s">
        <v>535</v>
      </c>
    </row>
    <row r="350" spans="1:22" ht="12.95" customHeight="1" x14ac:dyDescent="0.2">
      <c r="A350" s="274">
        <v>5431</v>
      </c>
      <c r="B350" s="241" t="str">
        <f t="shared" si="32"/>
        <v>BD</v>
      </c>
      <c r="C350" s="243" t="str">
        <f t="shared" si="33"/>
        <v/>
      </c>
      <c r="D350" s="275" t="s">
        <v>320</v>
      </c>
      <c r="E350" s="214" t="str">
        <f t="shared" si="34"/>
        <v>BD</v>
      </c>
      <c r="F350" s="242">
        <f t="shared" si="37"/>
        <v>5431</v>
      </c>
      <c r="G350" s="264">
        <v>500</v>
      </c>
      <c r="H350" s="241" t="str">
        <f t="shared" si="36"/>
        <v xml:space="preserve">Brannen, Dan Special </v>
      </c>
      <c r="I350" s="241" t="s">
        <v>848</v>
      </c>
      <c r="L350" s="351"/>
      <c r="T350" s="348">
        <v>5661</v>
      </c>
      <c r="U350" s="348" t="s">
        <v>1571</v>
      </c>
      <c r="V350" s="348" t="s">
        <v>1449</v>
      </c>
    </row>
    <row r="351" spans="1:22" ht="12.95" customHeight="1" x14ac:dyDescent="0.2">
      <c r="A351" s="274">
        <v>5434</v>
      </c>
      <c r="B351" s="241" t="str">
        <f t="shared" si="32"/>
        <v>BW</v>
      </c>
      <c r="C351" s="243" t="str">
        <f t="shared" si="33"/>
        <v/>
      </c>
      <c r="D351" s="275" t="s">
        <v>928</v>
      </c>
      <c r="E351" s="214" t="str">
        <f t="shared" si="34"/>
        <v>BW</v>
      </c>
      <c r="F351" s="242">
        <f t="shared" si="37"/>
        <v>5434</v>
      </c>
      <c r="G351" s="264">
        <v>500</v>
      </c>
      <c r="H351" s="241" t="str">
        <f t="shared" si="36"/>
        <v xml:space="preserve">Boyd, William [Roy] </v>
      </c>
      <c r="I351" s="241" t="s">
        <v>849</v>
      </c>
      <c r="L351" s="351"/>
      <c r="T351" s="348">
        <v>5793</v>
      </c>
      <c r="U351" s="348" t="s">
        <v>1574</v>
      </c>
      <c r="V351" s="348" t="s">
        <v>1450</v>
      </c>
    </row>
    <row r="352" spans="1:22" ht="12.95" customHeight="1" x14ac:dyDescent="0.2">
      <c r="A352" s="274">
        <v>5435</v>
      </c>
      <c r="B352" s="241" t="str">
        <f t="shared" si="32"/>
        <v>DL</v>
      </c>
      <c r="C352" s="243" t="str">
        <f t="shared" si="33"/>
        <v/>
      </c>
      <c r="D352" s="275" t="s">
        <v>672</v>
      </c>
      <c r="E352" s="214" t="str">
        <f t="shared" si="34"/>
        <v>DL</v>
      </c>
      <c r="F352" s="242">
        <f t="shared" si="37"/>
        <v>5435</v>
      </c>
      <c r="G352" s="264">
        <v>500</v>
      </c>
      <c r="H352" s="241" t="str">
        <f t="shared" si="36"/>
        <v xml:space="preserve">Dickson, Larry &amp; Pam </v>
      </c>
      <c r="I352" s="241" t="s">
        <v>849</v>
      </c>
      <c r="L352" s="351"/>
      <c r="T352" s="348">
        <v>5481</v>
      </c>
      <c r="U352" s="348" t="s">
        <v>1572</v>
      </c>
      <c r="V352" s="348" t="s">
        <v>624</v>
      </c>
    </row>
    <row r="353" spans="1:12" ht="12.95" customHeight="1" x14ac:dyDescent="0.2">
      <c r="A353" s="274">
        <v>5436</v>
      </c>
      <c r="B353" s="241" t="str">
        <f t="shared" si="32"/>
        <v>MM</v>
      </c>
      <c r="C353" s="243" t="str">
        <f t="shared" si="33"/>
        <v/>
      </c>
      <c r="D353" s="275" t="s">
        <v>442</v>
      </c>
      <c r="E353" s="214" t="str">
        <f t="shared" si="34"/>
        <v>MM</v>
      </c>
      <c r="F353" s="242">
        <f t="shared" si="37"/>
        <v>5436</v>
      </c>
      <c r="G353" s="264">
        <v>500</v>
      </c>
      <c r="H353" s="241" t="str">
        <f t="shared" si="36"/>
        <v xml:space="preserve">Murchison, Marc </v>
      </c>
      <c r="I353" s="241" t="s">
        <v>849</v>
      </c>
      <c r="L353" s="351"/>
    </row>
    <row r="354" spans="1:12" ht="12.95" customHeight="1" x14ac:dyDescent="0.2">
      <c r="A354" s="274">
        <v>5437</v>
      </c>
      <c r="B354" s="241" t="str">
        <f t="shared" si="32"/>
        <v>MS</v>
      </c>
      <c r="C354" s="243" t="str">
        <f t="shared" si="33"/>
        <v/>
      </c>
      <c r="D354" s="275" t="s">
        <v>244</v>
      </c>
      <c r="E354" s="214" t="str">
        <f t="shared" si="34"/>
        <v>MS</v>
      </c>
      <c r="F354" s="242">
        <f t="shared" si="37"/>
        <v>5437</v>
      </c>
      <c r="G354" s="264">
        <v>500</v>
      </c>
      <c r="H354" s="241" t="str">
        <f t="shared" si="36"/>
        <v xml:space="preserve">Murchison Special </v>
      </c>
      <c r="I354" s="241" t="s">
        <v>848</v>
      </c>
      <c r="L354" s="351"/>
    </row>
    <row r="355" spans="1:12" ht="12.95" customHeight="1" x14ac:dyDescent="0.2">
      <c r="A355" s="274">
        <v>5438</v>
      </c>
      <c r="B355" s="241" t="str">
        <f t="shared" si="32"/>
        <v>UD</v>
      </c>
      <c r="C355" s="243" t="str">
        <f t="shared" si="33"/>
        <v/>
      </c>
      <c r="D355" s="275" t="s">
        <v>884</v>
      </c>
      <c r="E355" s="214" t="str">
        <f t="shared" si="34"/>
        <v>UD</v>
      </c>
      <c r="F355" s="242">
        <f t="shared" si="37"/>
        <v>5438</v>
      </c>
      <c r="G355" s="264">
        <v>500</v>
      </c>
      <c r="H355" s="241" t="str">
        <f t="shared" si="36"/>
        <v xml:space="preserve">Ubaldo, Daniel &amp; Pam </v>
      </c>
      <c r="I355" s="241" t="s">
        <v>849</v>
      </c>
      <c r="L355" s="351"/>
    </row>
    <row r="356" spans="1:12" ht="12.95" customHeight="1" x14ac:dyDescent="0.2">
      <c r="A356" s="274">
        <v>5439</v>
      </c>
      <c r="B356" s="241" t="str">
        <f t="shared" si="32"/>
        <v>NJ</v>
      </c>
      <c r="C356" s="243" t="str">
        <f t="shared" si="33"/>
        <v/>
      </c>
      <c r="D356" s="275" t="s">
        <v>839</v>
      </c>
      <c r="E356" s="214" t="str">
        <f t="shared" si="34"/>
        <v>NJ</v>
      </c>
      <c r="F356" s="242">
        <f t="shared" si="37"/>
        <v>5439</v>
      </c>
      <c r="G356" s="264">
        <v>500</v>
      </c>
      <c r="H356" s="241" t="str">
        <f t="shared" si="36"/>
        <v xml:space="preserve">Ng, Joanna </v>
      </c>
      <c r="I356" s="241" t="s">
        <v>849</v>
      </c>
      <c r="L356" s="351"/>
    </row>
    <row r="357" spans="1:12" ht="12.95" customHeight="1" x14ac:dyDescent="0.2">
      <c r="A357" s="274">
        <v>5440</v>
      </c>
      <c r="B357" s="241" t="str">
        <f t="shared" ref="B357:B420" si="38">E357</f>
        <v>CR</v>
      </c>
      <c r="C357" s="243" t="str">
        <f t="shared" ref="C357:C420" si="39">IFERROR(MID(D357,SEARCH("{",D357,1)+1,SEARCH("}",D357,1)-SEARCH("{",D357,1)-1),"")</f>
        <v/>
      </c>
      <c r="D357" s="275" t="s">
        <v>338</v>
      </c>
      <c r="E357" s="214" t="str">
        <f t="shared" ref="E357:E420" si="40">LEFT(D357,1)&amp;MID(D357,SEARCH(" ",D357,1)+1,1)</f>
        <v>CR</v>
      </c>
      <c r="F357" s="242">
        <f t="shared" si="37"/>
        <v>5440</v>
      </c>
      <c r="G357" s="274">
        <v>500</v>
      </c>
      <c r="H357" s="241" t="str">
        <f t="shared" si="36"/>
        <v xml:space="preserve">Cotton, Ray </v>
      </c>
      <c r="I357" s="241" t="s">
        <v>849</v>
      </c>
      <c r="L357" s="351"/>
    </row>
    <row r="358" spans="1:12" ht="12.95" customHeight="1" x14ac:dyDescent="0.2">
      <c r="A358" s="274">
        <v>5441</v>
      </c>
      <c r="B358" s="241" t="str">
        <f t="shared" si="38"/>
        <v>CS</v>
      </c>
      <c r="C358" s="243" t="str">
        <f t="shared" si="39"/>
        <v/>
      </c>
      <c r="D358" s="275" t="s">
        <v>337</v>
      </c>
      <c r="E358" s="214" t="str">
        <f t="shared" si="40"/>
        <v>CS</v>
      </c>
      <c r="F358" s="242">
        <f t="shared" si="37"/>
        <v>5441</v>
      </c>
      <c r="G358" s="264">
        <v>500</v>
      </c>
      <c r="H358" s="241" t="str">
        <f t="shared" si="36"/>
        <v xml:space="preserve">Cotton Special </v>
      </c>
      <c r="I358" s="241" t="s">
        <v>848</v>
      </c>
      <c r="L358" s="351"/>
    </row>
    <row r="359" spans="1:12" ht="12.95" customHeight="1" x14ac:dyDescent="0.2">
      <c r="A359" s="274">
        <v>5442</v>
      </c>
      <c r="B359" s="241" t="str">
        <f t="shared" si="38"/>
        <v>LJ</v>
      </c>
      <c r="C359" s="243" t="str">
        <f t="shared" si="39"/>
        <v/>
      </c>
      <c r="D359" s="275" t="s">
        <v>425</v>
      </c>
      <c r="E359" s="214" t="str">
        <f t="shared" si="40"/>
        <v>LJ</v>
      </c>
      <c r="F359" s="242">
        <f t="shared" si="37"/>
        <v>5442</v>
      </c>
      <c r="G359" s="264">
        <v>500</v>
      </c>
      <c r="H359" s="241" t="str">
        <f t="shared" si="36"/>
        <v xml:space="preserve">Loh, Joel </v>
      </c>
      <c r="I359" s="241" t="s">
        <v>849</v>
      </c>
      <c r="L359" s="351"/>
    </row>
    <row r="360" spans="1:12" ht="12.95" customHeight="1" x14ac:dyDescent="0.2">
      <c r="A360" s="274">
        <v>5443</v>
      </c>
      <c r="B360" s="241" t="str">
        <f t="shared" si="38"/>
        <v>ST</v>
      </c>
      <c r="C360" s="243" t="str">
        <f t="shared" si="39"/>
        <v/>
      </c>
      <c r="D360" s="275" t="s">
        <v>740</v>
      </c>
      <c r="E360" s="214" t="str">
        <f t="shared" si="40"/>
        <v>ST</v>
      </c>
      <c r="F360" s="242">
        <f t="shared" si="37"/>
        <v>5443</v>
      </c>
      <c r="G360" s="264">
        <v>500</v>
      </c>
      <c r="H360" s="241" t="str">
        <f t="shared" si="36"/>
        <v xml:space="preserve">Sandeep, Thomas </v>
      </c>
      <c r="I360" s="241" t="s">
        <v>849</v>
      </c>
      <c r="L360" s="351"/>
    </row>
    <row r="361" spans="1:12" ht="12.95" customHeight="1" x14ac:dyDescent="0.2">
      <c r="A361" s="274">
        <v>5444</v>
      </c>
      <c r="B361" s="241" t="str">
        <f t="shared" si="38"/>
        <v>AR</v>
      </c>
      <c r="C361" s="243" t="str">
        <f t="shared" si="39"/>
        <v/>
      </c>
      <c r="D361" s="275" t="s">
        <v>298</v>
      </c>
      <c r="E361" s="214" t="str">
        <f t="shared" si="40"/>
        <v>AR</v>
      </c>
      <c r="F361" s="242">
        <f t="shared" si="37"/>
        <v>5444</v>
      </c>
      <c r="G361" s="264">
        <v>500</v>
      </c>
      <c r="H361" s="241" t="str">
        <f t="shared" si="36"/>
        <v xml:space="preserve">Abrams, Rob &amp; Kelly </v>
      </c>
      <c r="I361" s="241" t="s">
        <v>849</v>
      </c>
      <c r="L361" s="351"/>
    </row>
    <row r="362" spans="1:12" ht="12.95" customHeight="1" x14ac:dyDescent="0.2">
      <c r="A362" s="274">
        <v>5445</v>
      </c>
      <c r="B362" s="241" t="str">
        <f t="shared" si="38"/>
        <v>AS</v>
      </c>
      <c r="C362" s="243" t="str">
        <f t="shared" si="39"/>
        <v/>
      </c>
      <c r="D362" s="275" t="s">
        <v>188</v>
      </c>
      <c r="E362" s="214" t="str">
        <f t="shared" si="40"/>
        <v>AS</v>
      </c>
      <c r="F362" s="242">
        <f t="shared" si="37"/>
        <v>5445</v>
      </c>
      <c r="G362" s="264">
        <v>500</v>
      </c>
      <c r="H362" s="241" t="str">
        <f t="shared" si="36"/>
        <v xml:space="preserve">Abrams Special </v>
      </c>
      <c r="I362" s="241" t="s">
        <v>848</v>
      </c>
      <c r="L362" s="351"/>
    </row>
    <row r="363" spans="1:12" ht="12.95" customHeight="1" x14ac:dyDescent="0.2">
      <c r="A363" s="274">
        <v>5447</v>
      </c>
      <c r="B363" s="241" t="str">
        <f t="shared" si="38"/>
        <v>GD</v>
      </c>
      <c r="C363" s="243" t="str">
        <f t="shared" si="39"/>
        <v/>
      </c>
      <c r="D363" s="275" t="s">
        <v>371</v>
      </c>
      <c r="E363" s="214" t="str">
        <f t="shared" si="40"/>
        <v>GD</v>
      </c>
      <c r="F363" s="242">
        <f t="shared" si="37"/>
        <v>5447</v>
      </c>
      <c r="G363" s="264">
        <v>500</v>
      </c>
      <c r="H363" s="241" t="str">
        <f t="shared" si="36"/>
        <v xml:space="preserve">Gilchrist, Della </v>
      </c>
      <c r="I363" s="241" t="s">
        <v>849</v>
      </c>
      <c r="L363" s="351"/>
    </row>
    <row r="364" spans="1:12" ht="12.95" customHeight="1" x14ac:dyDescent="0.2">
      <c r="A364" s="274">
        <v>5448</v>
      </c>
      <c r="B364" s="241" t="str">
        <f t="shared" si="38"/>
        <v>CE</v>
      </c>
      <c r="C364" s="243" t="str">
        <f t="shared" si="39"/>
        <v/>
      </c>
      <c r="D364" s="275" t="s">
        <v>201</v>
      </c>
      <c r="E364" s="214" t="str">
        <f t="shared" si="40"/>
        <v>CE</v>
      </c>
      <c r="F364" s="242">
        <f t="shared" si="37"/>
        <v>5448</v>
      </c>
      <c r="G364" s="264">
        <v>500</v>
      </c>
      <c r="H364" s="241" t="str">
        <f t="shared" si="36"/>
        <v xml:space="preserve">Chijindu, Emmanuel </v>
      </c>
      <c r="I364" s="241" t="s">
        <v>849</v>
      </c>
      <c r="L364" s="351"/>
    </row>
    <row r="365" spans="1:12" ht="12.95" customHeight="1" x14ac:dyDescent="0.2">
      <c r="A365" s="274">
        <v>5449</v>
      </c>
      <c r="B365" s="241" t="str">
        <f t="shared" si="38"/>
        <v>LP</v>
      </c>
      <c r="C365" s="243" t="str">
        <f t="shared" si="39"/>
        <v/>
      </c>
      <c r="D365" s="275" t="s">
        <v>416</v>
      </c>
      <c r="E365" s="214" t="str">
        <f t="shared" si="40"/>
        <v>LP</v>
      </c>
      <c r="F365" s="242">
        <f t="shared" si="37"/>
        <v>5449</v>
      </c>
      <c r="G365" s="264">
        <v>500</v>
      </c>
      <c r="H365" s="241" t="str">
        <f t="shared" si="36"/>
        <v xml:space="preserve">Lawecki, Phyllis </v>
      </c>
      <c r="I365" s="241" t="s">
        <v>849</v>
      </c>
      <c r="L365" s="351"/>
    </row>
    <row r="366" spans="1:12" ht="12.95" customHeight="1" x14ac:dyDescent="0.2">
      <c r="A366" s="274">
        <v>5450</v>
      </c>
      <c r="B366" s="241" t="str">
        <f t="shared" si="38"/>
        <v>LS</v>
      </c>
      <c r="C366" s="243" t="str">
        <f t="shared" si="39"/>
        <v/>
      </c>
      <c r="D366" s="275" t="s">
        <v>233</v>
      </c>
      <c r="E366" s="214" t="str">
        <f t="shared" si="40"/>
        <v>LS</v>
      </c>
      <c r="F366" s="242">
        <f t="shared" si="37"/>
        <v>5450</v>
      </c>
      <c r="G366" s="264">
        <v>500</v>
      </c>
      <c r="H366" s="241" t="str">
        <f t="shared" si="36"/>
        <v xml:space="preserve">Lawecki Special </v>
      </c>
      <c r="I366" s="241" t="s">
        <v>848</v>
      </c>
      <c r="L366" s="351"/>
    </row>
    <row r="367" spans="1:12" ht="12.95" customHeight="1" x14ac:dyDescent="0.2">
      <c r="A367" s="274">
        <v>5452</v>
      </c>
      <c r="B367" s="241" t="str">
        <f t="shared" si="38"/>
        <v>IR</v>
      </c>
      <c r="C367" s="243" t="str">
        <f t="shared" si="39"/>
        <v/>
      </c>
      <c r="D367" s="275" t="s">
        <v>393</v>
      </c>
      <c r="E367" s="214" t="str">
        <f t="shared" si="40"/>
        <v>IR</v>
      </c>
      <c r="F367" s="242">
        <f t="shared" si="37"/>
        <v>5452</v>
      </c>
      <c r="G367" s="264">
        <v>500</v>
      </c>
      <c r="H367" s="241" t="str">
        <f t="shared" si="36"/>
        <v xml:space="preserve">Ingram, Ronald </v>
      </c>
      <c r="I367" s="241" t="s">
        <v>849</v>
      </c>
      <c r="L367" s="351"/>
    </row>
    <row r="368" spans="1:12" ht="12.95" customHeight="1" x14ac:dyDescent="0.2">
      <c r="A368" s="274">
        <v>5453</v>
      </c>
      <c r="B368" s="241" t="str">
        <f t="shared" si="38"/>
        <v>MD</v>
      </c>
      <c r="C368" s="243" t="str">
        <f t="shared" si="39"/>
        <v/>
      </c>
      <c r="D368" s="275" t="s">
        <v>430</v>
      </c>
      <c r="E368" s="214" t="str">
        <f t="shared" si="40"/>
        <v>MD</v>
      </c>
      <c r="F368" s="242">
        <f t="shared" si="37"/>
        <v>5453</v>
      </c>
      <c r="G368" s="264">
        <v>500</v>
      </c>
      <c r="H368" s="241" t="str">
        <f t="shared" si="36"/>
        <v xml:space="preserve">Manta, Don &amp; Ruth </v>
      </c>
      <c r="I368" s="241" t="s">
        <v>849</v>
      </c>
      <c r="L368" s="351"/>
    </row>
    <row r="369" spans="1:12" ht="12.95" customHeight="1" x14ac:dyDescent="0.2">
      <c r="A369" s="274">
        <v>5454</v>
      </c>
      <c r="B369" s="241" t="str">
        <f t="shared" si="38"/>
        <v>MS</v>
      </c>
      <c r="C369" s="243" t="str">
        <f t="shared" si="39"/>
        <v/>
      </c>
      <c r="D369" s="275" t="s">
        <v>237</v>
      </c>
      <c r="E369" s="214" t="str">
        <f t="shared" si="40"/>
        <v>MS</v>
      </c>
      <c r="F369" s="242">
        <f t="shared" si="37"/>
        <v>5454</v>
      </c>
      <c r="G369" s="264">
        <v>500</v>
      </c>
      <c r="H369" s="241" t="str">
        <f t="shared" si="36"/>
        <v xml:space="preserve">Manta Special </v>
      </c>
      <c r="I369" s="241" t="s">
        <v>848</v>
      </c>
      <c r="L369" s="351"/>
    </row>
    <row r="370" spans="1:12" ht="12.95" customHeight="1" x14ac:dyDescent="0.2">
      <c r="A370" s="274">
        <v>5455</v>
      </c>
      <c r="B370" s="241" t="str">
        <f t="shared" si="38"/>
        <v>GT</v>
      </c>
      <c r="C370" s="243" t="str">
        <f t="shared" si="39"/>
        <v/>
      </c>
      <c r="D370" s="275" t="s">
        <v>219</v>
      </c>
      <c r="E370" s="214" t="str">
        <f t="shared" si="40"/>
        <v>GT</v>
      </c>
      <c r="F370" s="242">
        <f t="shared" si="37"/>
        <v>5455</v>
      </c>
      <c r="G370" s="264">
        <v>500</v>
      </c>
      <c r="H370" s="241" t="str">
        <f t="shared" si="36"/>
        <v xml:space="preserve">Gengler, Tom </v>
      </c>
      <c r="I370" s="241" t="s">
        <v>849</v>
      </c>
      <c r="L370" s="351"/>
    </row>
    <row r="371" spans="1:12" ht="12.95" customHeight="1" x14ac:dyDescent="0.2">
      <c r="A371" s="274">
        <v>5456</v>
      </c>
      <c r="B371" s="241" t="str">
        <f t="shared" si="38"/>
        <v>ZS</v>
      </c>
      <c r="C371" s="243" t="str">
        <f t="shared" si="39"/>
        <v/>
      </c>
      <c r="D371" s="275" t="s">
        <v>498</v>
      </c>
      <c r="E371" s="214" t="str">
        <f t="shared" si="40"/>
        <v>ZS</v>
      </c>
      <c r="F371" s="242">
        <f t="shared" si="37"/>
        <v>5456</v>
      </c>
      <c r="G371" s="264">
        <v>500</v>
      </c>
      <c r="H371" s="241" t="str">
        <f t="shared" ref="H371:H434" si="41">LEFT(D371,SEARCH("(",D371,1)-1)</f>
        <v xml:space="preserve">Zeigler Special </v>
      </c>
      <c r="I371" s="241" t="s">
        <v>848</v>
      </c>
      <c r="L371" s="351"/>
    </row>
    <row r="372" spans="1:12" ht="12.95" customHeight="1" x14ac:dyDescent="0.2">
      <c r="A372" s="274">
        <v>5457</v>
      </c>
      <c r="B372" s="241" t="str">
        <f t="shared" si="38"/>
        <v>CS</v>
      </c>
      <c r="C372" s="243" t="str">
        <f t="shared" si="39"/>
        <v/>
      </c>
      <c r="D372" s="275" t="s">
        <v>200</v>
      </c>
      <c r="E372" s="214" t="str">
        <f t="shared" si="40"/>
        <v>CS</v>
      </c>
      <c r="F372" s="242">
        <f t="shared" si="37"/>
        <v>5457</v>
      </c>
      <c r="G372" s="264">
        <v>500</v>
      </c>
      <c r="H372" s="241" t="str">
        <f t="shared" si="41"/>
        <v xml:space="preserve">Carlson Special </v>
      </c>
      <c r="I372" s="241" t="s">
        <v>848</v>
      </c>
      <c r="L372" s="351"/>
    </row>
    <row r="373" spans="1:12" ht="12.95" customHeight="1" x14ac:dyDescent="0.2">
      <c r="A373" s="274">
        <v>5460</v>
      </c>
      <c r="B373" s="241" t="str">
        <f t="shared" si="38"/>
        <v>WN</v>
      </c>
      <c r="C373" s="243" t="str">
        <f t="shared" si="39"/>
        <v/>
      </c>
      <c r="D373" s="275" t="s">
        <v>276</v>
      </c>
      <c r="E373" s="214" t="str">
        <f t="shared" si="40"/>
        <v>WN</v>
      </c>
      <c r="F373" s="242">
        <f t="shared" si="37"/>
        <v>5460</v>
      </c>
      <c r="G373" s="264">
        <v>500</v>
      </c>
      <c r="H373" s="241" t="str">
        <f t="shared" si="41"/>
        <v xml:space="preserve">Wun, Nathan </v>
      </c>
      <c r="I373" s="241" t="s">
        <v>849</v>
      </c>
      <c r="L373" s="351"/>
    </row>
    <row r="374" spans="1:12" ht="12.95" customHeight="1" x14ac:dyDescent="0.2">
      <c r="A374" s="274">
        <v>5463</v>
      </c>
      <c r="B374" s="241" t="str">
        <f t="shared" si="38"/>
        <v>FG</v>
      </c>
      <c r="C374" s="243" t="str">
        <f t="shared" si="39"/>
        <v/>
      </c>
      <c r="D374" s="275" t="s">
        <v>177</v>
      </c>
      <c r="E374" s="214" t="str">
        <f t="shared" si="40"/>
        <v>FG</v>
      </c>
      <c r="F374" s="242">
        <f t="shared" si="37"/>
        <v>5463</v>
      </c>
      <c r="G374" s="264">
        <v>500</v>
      </c>
      <c r="H374" s="241" t="str">
        <f t="shared" si="41"/>
        <v xml:space="preserve">Freesen, Guy </v>
      </c>
      <c r="I374" s="241" t="s">
        <v>849</v>
      </c>
      <c r="L374" s="351"/>
    </row>
    <row r="375" spans="1:12" ht="12.95" customHeight="1" x14ac:dyDescent="0.2">
      <c r="A375" s="274">
        <v>5465</v>
      </c>
      <c r="B375" s="241" t="str">
        <f t="shared" si="38"/>
        <v>MR</v>
      </c>
      <c r="C375" s="243" t="str">
        <f t="shared" si="39"/>
        <v/>
      </c>
      <c r="D375" s="275" t="s">
        <v>437</v>
      </c>
      <c r="E375" s="214" t="str">
        <f t="shared" si="40"/>
        <v>MR</v>
      </c>
      <c r="F375" s="242">
        <f t="shared" si="37"/>
        <v>5465</v>
      </c>
      <c r="G375" s="264">
        <v>500</v>
      </c>
      <c r="H375" s="241" t="str">
        <f t="shared" si="41"/>
        <v xml:space="preserve">Miller, Ron &amp; Gayle </v>
      </c>
      <c r="I375" s="241" t="s">
        <v>849</v>
      </c>
      <c r="L375" s="351"/>
    </row>
    <row r="376" spans="1:12" ht="12.95" customHeight="1" x14ac:dyDescent="0.2">
      <c r="A376" s="274">
        <v>5466</v>
      </c>
      <c r="B376" s="241" t="str">
        <f t="shared" si="38"/>
        <v>PP</v>
      </c>
      <c r="C376" s="243" t="str">
        <f t="shared" si="39"/>
        <v/>
      </c>
      <c r="D376" s="275" t="s">
        <v>741</v>
      </c>
      <c r="E376" s="214" t="str">
        <f t="shared" si="40"/>
        <v>PP</v>
      </c>
      <c r="F376" s="242">
        <f t="shared" si="37"/>
        <v>5466</v>
      </c>
      <c r="G376" s="264">
        <v>500</v>
      </c>
      <c r="H376" s="241" t="str">
        <f t="shared" si="41"/>
        <v xml:space="preserve">Pollard, Peggy </v>
      </c>
      <c r="I376" s="241" t="s">
        <v>849</v>
      </c>
      <c r="L376" s="351"/>
    </row>
    <row r="377" spans="1:12" ht="12.95" customHeight="1" x14ac:dyDescent="0.2">
      <c r="A377" s="274">
        <v>5467</v>
      </c>
      <c r="B377" s="241" t="str">
        <f t="shared" si="38"/>
        <v>PS</v>
      </c>
      <c r="C377" s="243" t="str">
        <f t="shared" si="39"/>
        <v/>
      </c>
      <c r="D377" s="275" t="s">
        <v>458</v>
      </c>
      <c r="E377" s="214" t="str">
        <f t="shared" si="40"/>
        <v>PS</v>
      </c>
      <c r="F377" s="242">
        <f t="shared" si="37"/>
        <v>5467</v>
      </c>
      <c r="G377" s="264">
        <v>500</v>
      </c>
      <c r="H377" s="241" t="str">
        <f t="shared" si="41"/>
        <v xml:space="preserve">Pollard Special </v>
      </c>
      <c r="I377" s="241" t="s">
        <v>848</v>
      </c>
      <c r="L377" s="351"/>
    </row>
    <row r="378" spans="1:12" ht="12.95" customHeight="1" x14ac:dyDescent="0.2">
      <c r="A378" s="274">
        <v>5469</v>
      </c>
      <c r="B378" s="241" t="str">
        <f t="shared" si="38"/>
        <v>WF</v>
      </c>
      <c r="C378" s="243" t="str">
        <f t="shared" si="39"/>
        <v/>
      </c>
      <c r="D378" s="275" t="s">
        <v>275</v>
      </c>
      <c r="E378" s="214" t="str">
        <f t="shared" si="40"/>
        <v>WF</v>
      </c>
      <c r="F378" s="242">
        <f t="shared" si="37"/>
        <v>5469</v>
      </c>
      <c r="G378" s="264">
        <v>500</v>
      </c>
      <c r="H378" s="241" t="str">
        <f t="shared" si="41"/>
        <v xml:space="preserve">Witjandra, Fredinan </v>
      </c>
      <c r="I378" s="241" t="s">
        <v>849</v>
      </c>
      <c r="L378" s="351"/>
    </row>
    <row r="379" spans="1:12" ht="12.95" customHeight="1" x14ac:dyDescent="0.2">
      <c r="A379" s="274">
        <v>5470</v>
      </c>
      <c r="B379" s="241" t="str">
        <f t="shared" si="38"/>
        <v>WS</v>
      </c>
      <c r="C379" s="243" t="str">
        <f t="shared" si="39"/>
        <v/>
      </c>
      <c r="D379" s="275" t="s">
        <v>494</v>
      </c>
      <c r="E379" s="214" t="str">
        <f t="shared" si="40"/>
        <v>WS</v>
      </c>
      <c r="F379" s="242">
        <f t="shared" si="37"/>
        <v>5470</v>
      </c>
      <c r="G379" s="264">
        <v>500</v>
      </c>
      <c r="H379" s="241" t="str">
        <f t="shared" si="41"/>
        <v xml:space="preserve">Witjandra Special </v>
      </c>
      <c r="I379" s="241" t="s">
        <v>848</v>
      </c>
      <c r="L379" s="351"/>
    </row>
    <row r="380" spans="1:12" ht="12.95" customHeight="1" x14ac:dyDescent="0.2">
      <c r="A380" s="274">
        <v>5471</v>
      </c>
      <c r="B380" s="241" t="str">
        <f t="shared" si="38"/>
        <v>DD</v>
      </c>
      <c r="C380" s="243" t="str">
        <f t="shared" si="39"/>
        <v/>
      </c>
      <c r="D380" s="275" t="s">
        <v>351</v>
      </c>
      <c r="E380" s="214" t="str">
        <f t="shared" si="40"/>
        <v>DD</v>
      </c>
      <c r="F380" s="242">
        <f t="shared" si="37"/>
        <v>5471</v>
      </c>
      <c r="G380" s="264">
        <v>500</v>
      </c>
      <c r="H380" s="241" t="str">
        <f t="shared" si="41"/>
        <v xml:space="preserve">Dorning, Dawn </v>
      </c>
      <c r="I380" s="241" t="s">
        <v>849</v>
      </c>
      <c r="L380" s="351"/>
    </row>
    <row r="381" spans="1:12" ht="12.95" customHeight="1" x14ac:dyDescent="0.2">
      <c r="A381" s="274">
        <v>5472</v>
      </c>
      <c r="B381" s="241" t="str">
        <f t="shared" si="38"/>
        <v>DS</v>
      </c>
      <c r="C381" s="243" t="str">
        <f t="shared" si="39"/>
        <v/>
      </c>
      <c r="D381" s="275" t="s">
        <v>350</v>
      </c>
      <c r="E381" s="214" t="str">
        <f t="shared" si="40"/>
        <v>DS</v>
      </c>
      <c r="F381" s="242">
        <f t="shared" si="37"/>
        <v>5472</v>
      </c>
      <c r="G381" s="264">
        <v>500</v>
      </c>
      <c r="H381" s="241" t="str">
        <f t="shared" si="41"/>
        <v xml:space="preserve">Dorning Special </v>
      </c>
      <c r="I381" s="241" t="s">
        <v>848</v>
      </c>
      <c r="L381" s="351"/>
    </row>
    <row r="382" spans="1:12" ht="12.95" customHeight="1" x14ac:dyDescent="0.2">
      <c r="A382" s="274">
        <v>5476</v>
      </c>
      <c r="B382" s="241" t="str">
        <f t="shared" si="38"/>
        <v>KJ</v>
      </c>
      <c r="C382" s="243" t="str">
        <f t="shared" si="39"/>
        <v/>
      </c>
      <c r="D382" s="275" t="s">
        <v>401</v>
      </c>
      <c r="E382" s="214" t="str">
        <f t="shared" si="40"/>
        <v>KJ</v>
      </c>
      <c r="F382" s="242">
        <f t="shared" si="37"/>
        <v>5476</v>
      </c>
      <c r="G382" s="264">
        <v>500</v>
      </c>
      <c r="H382" s="241" t="str">
        <f t="shared" si="41"/>
        <v xml:space="preserve">Katekaru, J </v>
      </c>
      <c r="I382" s="241" t="s">
        <v>849</v>
      </c>
      <c r="L382" s="351"/>
    </row>
    <row r="383" spans="1:12" ht="12.95" customHeight="1" x14ac:dyDescent="0.2">
      <c r="A383" s="274">
        <v>5477</v>
      </c>
      <c r="B383" s="241" t="str">
        <f t="shared" si="38"/>
        <v>PK</v>
      </c>
      <c r="C383" s="243" t="str">
        <f t="shared" si="39"/>
        <v/>
      </c>
      <c r="D383" s="275" t="s">
        <v>251</v>
      </c>
      <c r="E383" s="214" t="str">
        <f t="shared" si="40"/>
        <v>PK</v>
      </c>
      <c r="F383" s="242">
        <f t="shared" si="37"/>
        <v>5477</v>
      </c>
      <c r="G383" s="264">
        <v>500</v>
      </c>
      <c r="H383" s="241" t="str">
        <f t="shared" si="41"/>
        <v xml:space="preserve">Pingel, Kirsten </v>
      </c>
      <c r="I383" s="241" t="s">
        <v>849</v>
      </c>
      <c r="L383" s="351"/>
    </row>
    <row r="384" spans="1:12" ht="12.95" customHeight="1" x14ac:dyDescent="0.2">
      <c r="A384" s="274">
        <v>5478</v>
      </c>
      <c r="B384" s="241" t="str">
        <f t="shared" si="38"/>
        <v>PS</v>
      </c>
      <c r="C384" s="243" t="str">
        <f t="shared" si="39"/>
        <v/>
      </c>
      <c r="D384" s="275" t="s">
        <v>250</v>
      </c>
      <c r="E384" s="214" t="str">
        <f t="shared" si="40"/>
        <v>PS</v>
      </c>
      <c r="F384" s="242">
        <f t="shared" si="37"/>
        <v>5478</v>
      </c>
      <c r="G384" s="264">
        <v>500</v>
      </c>
      <c r="H384" s="241" t="str">
        <f t="shared" si="41"/>
        <v xml:space="preserve">Pingel Special </v>
      </c>
      <c r="I384" s="241" t="s">
        <v>848</v>
      </c>
      <c r="L384" s="351"/>
    </row>
    <row r="385" spans="1:12" ht="12.95" customHeight="1" x14ac:dyDescent="0.2">
      <c r="A385" s="274">
        <v>5480</v>
      </c>
      <c r="B385" s="241" t="str">
        <f t="shared" si="38"/>
        <v>MA</v>
      </c>
      <c r="C385" s="243" t="str">
        <f t="shared" si="39"/>
        <v/>
      </c>
      <c r="D385" s="275" t="s">
        <v>441</v>
      </c>
      <c r="E385" s="214" t="str">
        <f t="shared" si="40"/>
        <v>MA</v>
      </c>
      <c r="F385" s="242">
        <f t="shared" si="37"/>
        <v>5480</v>
      </c>
      <c r="G385" s="264">
        <v>500</v>
      </c>
      <c r="H385" s="241" t="str">
        <f t="shared" si="41"/>
        <v xml:space="preserve">Mull, Andy &amp; Diane </v>
      </c>
      <c r="I385" s="241" t="s">
        <v>849</v>
      </c>
      <c r="L385" s="351"/>
    </row>
    <row r="386" spans="1:12" ht="12.95" customHeight="1" x14ac:dyDescent="0.2">
      <c r="A386" s="274">
        <v>5481</v>
      </c>
      <c r="B386" s="241" t="str">
        <f t="shared" si="38"/>
        <v>ZP</v>
      </c>
      <c r="C386" s="243" t="str">
        <f t="shared" si="39"/>
        <v/>
      </c>
      <c r="D386" s="275" t="s">
        <v>500</v>
      </c>
      <c r="E386" s="214" t="str">
        <f t="shared" si="40"/>
        <v>ZP</v>
      </c>
      <c r="F386" s="242">
        <f t="shared" si="37"/>
        <v>5481</v>
      </c>
      <c r="G386" s="264">
        <v>500</v>
      </c>
      <c r="H386" s="241" t="str">
        <f t="shared" si="41"/>
        <v xml:space="preserve">Zull, Peter </v>
      </c>
      <c r="I386" s="241" t="s">
        <v>849</v>
      </c>
      <c r="L386" s="351"/>
    </row>
    <row r="387" spans="1:12" ht="12.95" customHeight="1" x14ac:dyDescent="0.2">
      <c r="A387" s="274">
        <v>5482</v>
      </c>
      <c r="B387" s="241" t="str">
        <f t="shared" si="38"/>
        <v>MC</v>
      </c>
      <c r="C387" s="243" t="str">
        <f t="shared" si="39"/>
        <v/>
      </c>
      <c r="D387" s="275" t="s">
        <v>673</v>
      </c>
      <c r="E387" s="214" t="str">
        <f t="shared" si="40"/>
        <v>MC</v>
      </c>
      <c r="F387" s="242">
        <f t="shared" si="37"/>
        <v>5482</v>
      </c>
      <c r="G387" s="264">
        <v>500</v>
      </c>
      <c r="H387" s="241" t="str">
        <f t="shared" si="41"/>
        <v xml:space="preserve">Mosher, Craig </v>
      </c>
      <c r="I387" s="241" t="s">
        <v>849</v>
      </c>
      <c r="L387" s="351"/>
    </row>
    <row r="388" spans="1:12" ht="12.95" customHeight="1" x14ac:dyDescent="0.2">
      <c r="A388" s="274">
        <v>5483</v>
      </c>
      <c r="B388" s="241" t="str">
        <f t="shared" si="38"/>
        <v>SK</v>
      </c>
      <c r="C388" s="243" t="str">
        <f t="shared" si="39"/>
        <v/>
      </c>
      <c r="D388" s="275" t="s">
        <v>480</v>
      </c>
      <c r="E388" s="214" t="str">
        <f t="shared" si="40"/>
        <v>SK</v>
      </c>
      <c r="F388" s="242">
        <f t="shared" si="37"/>
        <v>5483</v>
      </c>
      <c r="G388" s="264">
        <v>500</v>
      </c>
      <c r="H388" s="241" t="str">
        <f t="shared" si="41"/>
        <v xml:space="preserve">Sinclair, Kerry &amp; Josie </v>
      </c>
      <c r="I388" s="241" t="s">
        <v>849</v>
      </c>
      <c r="L388" s="351"/>
    </row>
    <row r="389" spans="1:12" ht="12.95" customHeight="1" x14ac:dyDescent="0.2">
      <c r="A389" s="274">
        <v>5484</v>
      </c>
      <c r="B389" s="241" t="str">
        <f t="shared" si="38"/>
        <v>SS</v>
      </c>
      <c r="C389" s="243" t="str">
        <f t="shared" si="39"/>
        <v/>
      </c>
      <c r="D389" s="275" t="s">
        <v>260</v>
      </c>
      <c r="E389" s="214" t="str">
        <f t="shared" si="40"/>
        <v>SS</v>
      </c>
      <c r="F389" s="242">
        <f t="shared" si="37"/>
        <v>5484</v>
      </c>
      <c r="G389" s="264">
        <v>500</v>
      </c>
      <c r="H389" s="241" t="str">
        <f t="shared" si="41"/>
        <v xml:space="preserve">Sinclair Special </v>
      </c>
      <c r="I389" s="241" t="s">
        <v>848</v>
      </c>
      <c r="L389" s="351"/>
    </row>
    <row r="390" spans="1:12" ht="12.95" customHeight="1" x14ac:dyDescent="0.2">
      <c r="A390" s="274">
        <v>5485</v>
      </c>
      <c r="B390" s="241" t="str">
        <f t="shared" si="38"/>
        <v>WA</v>
      </c>
      <c r="C390" s="243" t="str">
        <f t="shared" si="39"/>
        <v/>
      </c>
      <c r="D390" s="275" t="s">
        <v>674</v>
      </c>
      <c r="E390" s="214" t="str">
        <f t="shared" si="40"/>
        <v>WA</v>
      </c>
      <c r="F390" s="242">
        <f t="shared" si="37"/>
        <v>5485</v>
      </c>
      <c r="G390" s="264">
        <v>500</v>
      </c>
      <c r="H390" s="241" t="str">
        <f t="shared" si="41"/>
        <v xml:space="preserve">Welch, Audrey </v>
      </c>
      <c r="I390" s="241" t="s">
        <v>849</v>
      </c>
      <c r="L390" s="351"/>
    </row>
    <row r="391" spans="1:12" ht="12.95" customHeight="1" x14ac:dyDescent="0.2">
      <c r="A391" s="274">
        <v>5486</v>
      </c>
      <c r="B391" s="241" t="str">
        <f t="shared" si="38"/>
        <v>KS</v>
      </c>
      <c r="C391" s="243" t="str">
        <f t="shared" si="39"/>
        <v/>
      </c>
      <c r="D391" s="275" t="s">
        <v>229</v>
      </c>
      <c r="E391" s="214" t="str">
        <f t="shared" si="40"/>
        <v>KS</v>
      </c>
      <c r="F391" s="242">
        <f t="shared" si="37"/>
        <v>5486</v>
      </c>
      <c r="G391" s="264">
        <v>500</v>
      </c>
      <c r="H391" s="241" t="str">
        <f t="shared" si="41"/>
        <v xml:space="preserve">Katekaru Special </v>
      </c>
      <c r="I391" s="241" t="s">
        <v>848</v>
      </c>
      <c r="L391" s="351"/>
    </row>
    <row r="392" spans="1:12" ht="12.95" customHeight="1" x14ac:dyDescent="0.2">
      <c r="A392" s="274">
        <v>5488</v>
      </c>
      <c r="B392" s="241" t="str">
        <f t="shared" si="38"/>
        <v>CD</v>
      </c>
      <c r="C392" s="243" t="str">
        <f t="shared" si="39"/>
        <v/>
      </c>
      <c r="D392" s="275" t="s">
        <v>742</v>
      </c>
      <c r="E392" s="214" t="str">
        <f t="shared" si="40"/>
        <v>CD</v>
      </c>
      <c r="F392" s="242">
        <f t="shared" ref="F392:F455" si="42">A392</f>
        <v>5488</v>
      </c>
      <c r="G392" s="264">
        <v>500</v>
      </c>
      <c r="H392" s="241" t="str">
        <f t="shared" si="41"/>
        <v xml:space="preserve">Clements, Darius </v>
      </c>
      <c r="I392" s="241" t="s">
        <v>849</v>
      </c>
      <c r="L392" s="351"/>
    </row>
    <row r="393" spans="1:12" ht="12.95" customHeight="1" x14ac:dyDescent="0.2">
      <c r="A393" s="274">
        <v>5489</v>
      </c>
      <c r="B393" s="241" t="str">
        <f t="shared" si="38"/>
        <v>BR</v>
      </c>
      <c r="C393" s="243" t="str">
        <f t="shared" si="39"/>
        <v/>
      </c>
      <c r="D393" s="275" t="s">
        <v>743</v>
      </c>
      <c r="E393" s="214" t="str">
        <f t="shared" si="40"/>
        <v>BR</v>
      </c>
      <c r="F393" s="242">
        <f t="shared" si="42"/>
        <v>5489</v>
      </c>
      <c r="G393" s="264">
        <v>500</v>
      </c>
      <c r="H393" s="241" t="str">
        <f t="shared" si="41"/>
        <v xml:space="preserve">Babcock, Randy &amp; Jan </v>
      </c>
      <c r="I393" s="241" t="s">
        <v>849</v>
      </c>
      <c r="L393" s="351"/>
    </row>
    <row r="394" spans="1:12" ht="12.95" customHeight="1" x14ac:dyDescent="0.2">
      <c r="A394" s="274">
        <v>5490</v>
      </c>
      <c r="B394" s="241" t="str">
        <f t="shared" si="38"/>
        <v>RS</v>
      </c>
      <c r="C394" s="243" t="str">
        <f t="shared" si="39"/>
        <v/>
      </c>
      <c r="D394" s="275" t="s">
        <v>256</v>
      </c>
      <c r="E394" s="214" t="str">
        <f t="shared" si="40"/>
        <v>RS</v>
      </c>
      <c r="F394" s="242">
        <f t="shared" si="42"/>
        <v>5490</v>
      </c>
      <c r="G394" s="264">
        <v>500</v>
      </c>
      <c r="H394" s="241" t="str">
        <f t="shared" si="41"/>
        <v xml:space="preserve">Runyon, Stephen </v>
      </c>
      <c r="I394" s="241" t="s">
        <v>849</v>
      </c>
      <c r="L394" s="351"/>
    </row>
    <row r="395" spans="1:12" ht="12.95" customHeight="1" x14ac:dyDescent="0.2">
      <c r="A395" s="274">
        <v>5491</v>
      </c>
      <c r="B395" s="241" t="str">
        <f t="shared" si="38"/>
        <v>BS</v>
      </c>
      <c r="C395" s="243" t="str">
        <f t="shared" si="39"/>
        <v/>
      </c>
      <c r="D395" s="275" t="s">
        <v>191</v>
      </c>
      <c r="E395" s="214" t="str">
        <f t="shared" si="40"/>
        <v>BS</v>
      </c>
      <c r="F395" s="242">
        <f t="shared" si="42"/>
        <v>5491</v>
      </c>
      <c r="G395" s="264">
        <v>500</v>
      </c>
      <c r="H395" s="241" t="str">
        <f t="shared" si="41"/>
        <v xml:space="preserve">Babcock Special </v>
      </c>
      <c r="I395" s="241" t="s">
        <v>848</v>
      </c>
      <c r="L395" s="351"/>
    </row>
    <row r="396" spans="1:12" ht="12.95" customHeight="1" x14ac:dyDescent="0.2">
      <c r="A396" s="274">
        <v>5492</v>
      </c>
      <c r="B396" s="241" t="str">
        <f t="shared" si="38"/>
        <v>LM</v>
      </c>
      <c r="C396" s="243" t="str">
        <f t="shared" si="39"/>
        <v/>
      </c>
      <c r="D396" s="275" t="s">
        <v>417</v>
      </c>
      <c r="E396" s="214" t="str">
        <f t="shared" si="40"/>
        <v>LM</v>
      </c>
      <c r="F396" s="242">
        <f t="shared" si="42"/>
        <v>5492</v>
      </c>
      <c r="G396" s="264">
        <v>500</v>
      </c>
      <c r="H396" s="241" t="str">
        <f t="shared" si="41"/>
        <v xml:space="preserve">Leavister, Margaret </v>
      </c>
      <c r="I396" s="241" t="s">
        <v>849</v>
      </c>
      <c r="L396" s="351"/>
    </row>
    <row r="397" spans="1:12" ht="12.95" customHeight="1" x14ac:dyDescent="0.2">
      <c r="A397" s="274">
        <v>5493</v>
      </c>
      <c r="B397" s="241" t="str">
        <f t="shared" si="38"/>
        <v>RD</v>
      </c>
      <c r="C397" s="243" t="str">
        <f t="shared" si="39"/>
        <v/>
      </c>
      <c r="D397" s="275" t="s">
        <v>466</v>
      </c>
      <c r="E397" s="214" t="str">
        <f t="shared" si="40"/>
        <v>RD</v>
      </c>
      <c r="F397" s="242">
        <f t="shared" si="42"/>
        <v>5493</v>
      </c>
      <c r="G397" s="264">
        <v>500</v>
      </c>
      <c r="H397" s="241" t="str">
        <f t="shared" si="41"/>
        <v xml:space="preserve">Rigstad, Dennis </v>
      </c>
      <c r="I397" s="241" t="s">
        <v>849</v>
      </c>
      <c r="L397" s="351"/>
    </row>
    <row r="398" spans="1:12" ht="12.95" customHeight="1" x14ac:dyDescent="0.2">
      <c r="A398" s="274">
        <v>5494</v>
      </c>
      <c r="B398" s="241" t="str">
        <f t="shared" si="38"/>
        <v>RS</v>
      </c>
      <c r="C398" s="243" t="str">
        <f t="shared" si="39"/>
        <v/>
      </c>
      <c r="D398" s="275" t="s">
        <v>465</v>
      </c>
      <c r="E398" s="214" t="str">
        <f t="shared" si="40"/>
        <v>RS</v>
      </c>
      <c r="F398" s="242">
        <f t="shared" si="42"/>
        <v>5494</v>
      </c>
      <c r="G398" s="264">
        <v>500</v>
      </c>
      <c r="H398" s="241" t="str">
        <f t="shared" si="41"/>
        <v xml:space="preserve">Rigstad Special </v>
      </c>
      <c r="I398" s="241" t="s">
        <v>848</v>
      </c>
      <c r="L398" s="351"/>
    </row>
    <row r="399" spans="1:12" ht="12.95" customHeight="1" x14ac:dyDescent="0.2">
      <c r="A399" s="274">
        <v>5495</v>
      </c>
      <c r="B399" s="241" t="str">
        <f t="shared" si="38"/>
        <v>BS</v>
      </c>
      <c r="C399" s="243" t="str">
        <f t="shared" si="39"/>
        <v/>
      </c>
      <c r="D399" s="275" t="s">
        <v>192</v>
      </c>
      <c r="E399" s="214" t="str">
        <f t="shared" si="40"/>
        <v>BS</v>
      </c>
      <c r="F399" s="242">
        <f t="shared" si="42"/>
        <v>5495</v>
      </c>
      <c r="G399" s="264">
        <v>500</v>
      </c>
      <c r="H399" s="241" t="str">
        <f t="shared" si="41"/>
        <v xml:space="preserve">Barnett Special </v>
      </c>
      <c r="I399" s="241" t="s">
        <v>848</v>
      </c>
      <c r="L399" s="351"/>
    </row>
    <row r="400" spans="1:12" ht="12.95" customHeight="1" x14ac:dyDescent="0.2">
      <c r="A400" s="274">
        <v>5497</v>
      </c>
      <c r="B400" s="241" t="str">
        <f t="shared" si="38"/>
        <v>SD</v>
      </c>
      <c r="C400" s="243" t="str">
        <f t="shared" si="39"/>
        <v/>
      </c>
      <c r="D400" s="275" t="s">
        <v>474</v>
      </c>
      <c r="E400" s="214" t="str">
        <f t="shared" si="40"/>
        <v>SD</v>
      </c>
      <c r="F400" s="242">
        <f t="shared" si="42"/>
        <v>5497</v>
      </c>
      <c r="G400" s="264">
        <v>500</v>
      </c>
      <c r="H400" s="241" t="str">
        <f t="shared" si="41"/>
        <v xml:space="preserve">Sawyer, Doug </v>
      </c>
      <c r="I400" s="241" t="s">
        <v>849</v>
      </c>
      <c r="L400" s="351"/>
    </row>
    <row r="401" spans="1:12" ht="12.95" customHeight="1" x14ac:dyDescent="0.2">
      <c r="A401" s="274">
        <v>5498</v>
      </c>
      <c r="B401" s="241" t="str">
        <f t="shared" si="38"/>
        <v>CK</v>
      </c>
      <c r="C401" s="243" t="str">
        <f t="shared" si="39"/>
        <v/>
      </c>
      <c r="D401" s="275" t="s">
        <v>744</v>
      </c>
      <c r="E401" s="214" t="str">
        <f t="shared" si="40"/>
        <v>CK</v>
      </c>
      <c r="F401" s="242">
        <f t="shared" si="42"/>
        <v>5498</v>
      </c>
      <c r="G401" s="264">
        <v>500</v>
      </c>
      <c r="H401" s="241" t="str">
        <f t="shared" si="41"/>
        <v xml:space="preserve">Carter, Katy </v>
      </c>
      <c r="I401" s="241" t="s">
        <v>849</v>
      </c>
      <c r="L401" s="351"/>
    </row>
    <row r="402" spans="1:12" ht="12.95" customHeight="1" x14ac:dyDescent="0.2">
      <c r="A402" s="274">
        <v>5499</v>
      </c>
      <c r="B402" s="241" t="str">
        <f t="shared" si="38"/>
        <v>PS</v>
      </c>
      <c r="C402" s="243" t="str">
        <f t="shared" si="39"/>
        <v/>
      </c>
      <c r="D402" s="275" t="s">
        <v>252</v>
      </c>
      <c r="E402" s="214" t="str">
        <f t="shared" si="40"/>
        <v>PS</v>
      </c>
      <c r="F402" s="242">
        <f t="shared" si="42"/>
        <v>5499</v>
      </c>
      <c r="G402" s="264">
        <v>500</v>
      </c>
      <c r="H402" s="241" t="str">
        <f t="shared" si="41"/>
        <v xml:space="preserve">Portland Student Trips </v>
      </c>
      <c r="I402" s="241" t="s">
        <v>847</v>
      </c>
      <c r="L402" s="351"/>
    </row>
    <row r="403" spans="1:12" ht="12.95" customHeight="1" x14ac:dyDescent="0.2">
      <c r="A403" s="274">
        <v>5500</v>
      </c>
      <c r="B403" s="241" t="str">
        <f t="shared" si="38"/>
        <v>KM</v>
      </c>
      <c r="C403" s="243" t="str">
        <f t="shared" si="39"/>
        <v/>
      </c>
      <c r="D403" s="275" t="s">
        <v>231</v>
      </c>
      <c r="E403" s="214" t="str">
        <f t="shared" si="40"/>
        <v>KM</v>
      </c>
      <c r="F403" s="242">
        <f t="shared" si="42"/>
        <v>5500</v>
      </c>
      <c r="G403" s="264">
        <v>500</v>
      </c>
      <c r="H403" s="241" t="str">
        <f t="shared" si="41"/>
        <v xml:space="preserve">Kruger Memorial/City Ministries </v>
      </c>
      <c r="I403" s="241" t="s">
        <v>847</v>
      </c>
      <c r="L403" s="351"/>
    </row>
    <row r="404" spans="1:12" ht="12.95" customHeight="1" x14ac:dyDescent="0.2">
      <c r="A404" s="274">
        <v>5501</v>
      </c>
      <c r="B404" s="241" t="str">
        <f t="shared" si="38"/>
        <v>CG</v>
      </c>
      <c r="C404" s="243" t="str">
        <f t="shared" si="39"/>
        <v/>
      </c>
      <c r="D404" s="275" t="s">
        <v>745</v>
      </c>
      <c r="E404" s="214" t="str">
        <f t="shared" si="40"/>
        <v>CG</v>
      </c>
      <c r="F404" s="242">
        <f t="shared" si="42"/>
        <v>5501</v>
      </c>
      <c r="G404" s="264">
        <v>500</v>
      </c>
      <c r="H404" s="241" t="str">
        <f t="shared" si="41"/>
        <v xml:space="preserve">Champoux, Ginny  </v>
      </c>
      <c r="I404" s="241" t="s">
        <v>849</v>
      </c>
      <c r="L404" s="351"/>
    </row>
    <row r="405" spans="1:12" ht="12.95" customHeight="1" x14ac:dyDescent="0.2">
      <c r="A405" s="274">
        <v>5502</v>
      </c>
      <c r="B405" s="241" t="str">
        <f t="shared" si="38"/>
        <v>LD</v>
      </c>
      <c r="C405" s="243" t="str">
        <f t="shared" si="39"/>
        <v/>
      </c>
      <c r="D405" s="275" t="s">
        <v>426</v>
      </c>
      <c r="E405" s="214" t="str">
        <f t="shared" si="40"/>
        <v>LD</v>
      </c>
      <c r="F405" s="242">
        <f t="shared" si="42"/>
        <v>5502</v>
      </c>
      <c r="G405" s="264">
        <v>500</v>
      </c>
      <c r="H405" s="241" t="str">
        <f t="shared" si="41"/>
        <v xml:space="preserve">Low, Dennis </v>
      </c>
      <c r="I405" s="241" t="s">
        <v>849</v>
      </c>
      <c r="L405" s="351"/>
    </row>
    <row r="406" spans="1:12" ht="12.95" customHeight="1" x14ac:dyDescent="0.2">
      <c r="A406" s="274">
        <v>5503</v>
      </c>
      <c r="B406" s="241" t="str">
        <f t="shared" si="38"/>
        <v>CL</v>
      </c>
      <c r="C406" s="243" t="str">
        <f t="shared" si="39"/>
        <v/>
      </c>
      <c r="D406" s="275" t="s">
        <v>328</v>
      </c>
      <c r="E406" s="214" t="str">
        <f t="shared" si="40"/>
        <v>CL</v>
      </c>
      <c r="F406" s="242">
        <f t="shared" si="42"/>
        <v>5503</v>
      </c>
      <c r="G406" s="264">
        <v>500</v>
      </c>
      <c r="H406" s="241" t="str">
        <f t="shared" si="41"/>
        <v xml:space="preserve">Champoux, Larry &amp; Lucy </v>
      </c>
      <c r="I406" s="241" t="s">
        <v>849</v>
      </c>
      <c r="L406" s="351"/>
    </row>
    <row r="407" spans="1:12" ht="12.95" customHeight="1" x14ac:dyDescent="0.2">
      <c r="A407" s="274">
        <v>5504</v>
      </c>
      <c r="B407" s="241" t="str">
        <f t="shared" si="38"/>
        <v>CL</v>
      </c>
      <c r="C407" s="243" t="str">
        <f t="shared" si="39"/>
        <v/>
      </c>
      <c r="D407" s="275" t="s">
        <v>327</v>
      </c>
      <c r="E407" s="214" t="str">
        <f t="shared" si="40"/>
        <v>CL</v>
      </c>
      <c r="F407" s="242">
        <f t="shared" si="42"/>
        <v>5504</v>
      </c>
      <c r="G407" s="264">
        <v>500</v>
      </c>
      <c r="H407" s="241" t="str">
        <f t="shared" si="41"/>
        <v xml:space="preserve">Champoux L. Special </v>
      </c>
      <c r="I407" s="241" t="s">
        <v>848</v>
      </c>
      <c r="L407" s="351"/>
    </row>
    <row r="408" spans="1:12" ht="12.95" customHeight="1" x14ac:dyDescent="0.2">
      <c r="A408" s="274">
        <v>5505</v>
      </c>
      <c r="B408" s="241" t="str">
        <f t="shared" si="38"/>
        <v>GJ</v>
      </c>
      <c r="C408" s="243" t="str">
        <f t="shared" si="39"/>
        <v/>
      </c>
      <c r="D408" s="275" t="s">
        <v>374</v>
      </c>
      <c r="E408" s="214" t="str">
        <f t="shared" si="40"/>
        <v>GJ</v>
      </c>
      <c r="F408" s="242">
        <f t="shared" si="42"/>
        <v>5505</v>
      </c>
      <c r="G408" s="264">
        <v>500</v>
      </c>
      <c r="H408" s="241" t="str">
        <f t="shared" si="41"/>
        <v xml:space="preserve">Goll, Joseph &amp; Sheryl </v>
      </c>
      <c r="I408" s="241" t="s">
        <v>849</v>
      </c>
      <c r="L408" s="351"/>
    </row>
    <row r="409" spans="1:12" ht="12.95" customHeight="1" x14ac:dyDescent="0.2">
      <c r="A409" s="274">
        <v>5507</v>
      </c>
      <c r="B409" s="241" t="str">
        <f t="shared" si="38"/>
        <v>DM</v>
      </c>
      <c r="C409" s="243" t="str">
        <f t="shared" si="39"/>
        <v>Shaw, Tovar</v>
      </c>
      <c r="D409" s="275" t="s">
        <v>1746</v>
      </c>
      <c r="E409" s="214" t="str">
        <f t="shared" si="40"/>
        <v>DM</v>
      </c>
      <c r="F409" s="242">
        <f t="shared" si="42"/>
        <v>5507</v>
      </c>
      <c r="G409" s="264">
        <v>500</v>
      </c>
      <c r="H409" s="241" t="str">
        <f t="shared" si="41"/>
        <v xml:space="preserve">Dan McCoy Memorial Fund </v>
      </c>
      <c r="I409" s="241" t="s">
        <v>847</v>
      </c>
      <c r="L409" s="351"/>
    </row>
    <row r="410" spans="1:12" ht="12.95" customHeight="1" x14ac:dyDescent="0.2">
      <c r="A410" s="274">
        <v>5508</v>
      </c>
      <c r="B410" s="241" t="str">
        <f t="shared" si="38"/>
        <v>DJ</v>
      </c>
      <c r="C410" s="243" t="str">
        <f t="shared" si="39"/>
        <v/>
      </c>
      <c r="D410" s="275" t="s">
        <v>345</v>
      </c>
      <c r="E410" s="214" t="str">
        <f t="shared" si="40"/>
        <v>DJ</v>
      </c>
      <c r="F410" s="242">
        <f t="shared" si="42"/>
        <v>5508</v>
      </c>
      <c r="G410" s="264">
        <v>500</v>
      </c>
      <c r="H410" s="241" t="str">
        <f t="shared" si="41"/>
        <v xml:space="preserve">Decker, J. Gordon </v>
      </c>
      <c r="I410" s="241" t="s">
        <v>849</v>
      </c>
      <c r="L410" s="351"/>
    </row>
    <row r="411" spans="1:12" ht="12.95" customHeight="1" x14ac:dyDescent="0.2">
      <c r="A411" s="274">
        <v>5509</v>
      </c>
      <c r="B411" s="241" t="str">
        <f t="shared" si="38"/>
        <v>DS</v>
      </c>
      <c r="C411" s="243" t="str">
        <f t="shared" si="39"/>
        <v/>
      </c>
      <c r="D411" s="275" t="s">
        <v>210</v>
      </c>
      <c r="E411" s="214" t="str">
        <f t="shared" si="40"/>
        <v>DS</v>
      </c>
      <c r="F411" s="242">
        <f t="shared" si="42"/>
        <v>5509</v>
      </c>
      <c r="G411" s="264">
        <v>500</v>
      </c>
      <c r="H411" s="241" t="str">
        <f t="shared" si="41"/>
        <v xml:space="preserve">Decker Special Trip Account </v>
      </c>
      <c r="I411" s="241" t="s">
        <v>848</v>
      </c>
      <c r="L411" s="351"/>
    </row>
    <row r="412" spans="1:12" ht="12.95" customHeight="1" x14ac:dyDescent="0.2">
      <c r="A412" s="274">
        <v>5510</v>
      </c>
      <c r="B412" s="241" t="str">
        <f t="shared" si="38"/>
        <v>DC</v>
      </c>
      <c r="C412" s="243" t="str">
        <f t="shared" si="39"/>
        <v/>
      </c>
      <c r="D412" s="275" t="s">
        <v>209</v>
      </c>
      <c r="E412" s="214" t="str">
        <f t="shared" si="40"/>
        <v>DC</v>
      </c>
      <c r="F412" s="242">
        <f t="shared" si="42"/>
        <v>5510</v>
      </c>
      <c r="G412" s="264">
        <v>500</v>
      </c>
      <c r="H412" s="241" t="str">
        <f t="shared" si="41"/>
        <v xml:space="preserve">Decker Car Replacement Account </v>
      </c>
      <c r="I412" s="241" t="s">
        <v>848</v>
      </c>
      <c r="L412" s="351"/>
    </row>
    <row r="413" spans="1:12" ht="12.95" customHeight="1" x14ac:dyDescent="0.2">
      <c r="A413" s="274">
        <v>5512</v>
      </c>
      <c r="B413" s="241" t="str">
        <f t="shared" si="38"/>
        <v>GT</v>
      </c>
      <c r="C413" s="243" t="str">
        <f t="shared" si="39"/>
        <v/>
      </c>
      <c r="D413" s="275" t="s">
        <v>506</v>
      </c>
      <c r="E413" s="214" t="str">
        <f t="shared" si="40"/>
        <v>GT</v>
      </c>
      <c r="F413" s="242">
        <f t="shared" si="42"/>
        <v>5512</v>
      </c>
      <c r="G413" s="264">
        <v>500</v>
      </c>
      <c r="H413" s="241" t="str">
        <f t="shared" si="41"/>
        <v xml:space="preserve">Gold, Timothy </v>
      </c>
      <c r="I413" s="241" t="s">
        <v>849</v>
      </c>
      <c r="L413" s="351"/>
    </row>
    <row r="414" spans="1:12" ht="12.95" customHeight="1" x14ac:dyDescent="0.2">
      <c r="A414" s="274">
        <v>5513</v>
      </c>
      <c r="B414" s="241" t="str">
        <f t="shared" si="38"/>
        <v xml:space="preserve">C </v>
      </c>
      <c r="C414" s="243" t="str">
        <f t="shared" si="39"/>
        <v/>
      </c>
      <c r="D414" s="275" t="s">
        <v>746</v>
      </c>
      <c r="E414" s="214" t="str">
        <f t="shared" si="40"/>
        <v xml:space="preserve">C </v>
      </c>
      <c r="F414" s="242">
        <f t="shared" si="42"/>
        <v>5513</v>
      </c>
      <c r="G414" s="264">
        <v>500</v>
      </c>
      <c r="H414" s="241" t="str">
        <f t="shared" si="41"/>
        <v xml:space="preserve">Champoux  G. Special </v>
      </c>
      <c r="I414" s="241" t="s">
        <v>848</v>
      </c>
      <c r="L414" s="351"/>
    </row>
    <row r="415" spans="1:12" ht="12.95" customHeight="1" x14ac:dyDescent="0.2">
      <c r="A415" s="274">
        <v>5514</v>
      </c>
      <c r="B415" s="241" t="str">
        <f t="shared" si="38"/>
        <v>BA</v>
      </c>
      <c r="C415" s="243" t="str">
        <f t="shared" si="39"/>
        <v/>
      </c>
      <c r="D415" s="275" t="s">
        <v>505</v>
      </c>
      <c r="E415" s="214" t="str">
        <f t="shared" si="40"/>
        <v>BA</v>
      </c>
      <c r="F415" s="242">
        <f t="shared" si="42"/>
        <v>5514</v>
      </c>
      <c r="G415" s="264">
        <v>500</v>
      </c>
      <c r="H415" s="241" t="str">
        <f t="shared" si="41"/>
        <v xml:space="preserve">Bricker, Alex </v>
      </c>
      <c r="I415" s="241" t="s">
        <v>849</v>
      </c>
      <c r="L415" s="351"/>
    </row>
    <row r="416" spans="1:12" ht="12.95" customHeight="1" x14ac:dyDescent="0.2">
      <c r="A416" s="274">
        <v>5517</v>
      </c>
      <c r="B416" s="241" t="str">
        <f t="shared" si="38"/>
        <v>TS</v>
      </c>
      <c r="C416" s="243" t="str">
        <f t="shared" si="39"/>
        <v/>
      </c>
      <c r="D416" s="275" t="s">
        <v>270</v>
      </c>
      <c r="E416" s="214" t="str">
        <f t="shared" si="40"/>
        <v>TS</v>
      </c>
      <c r="F416" s="242">
        <f t="shared" si="42"/>
        <v>5517</v>
      </c>
      <c r="G416" s="264">
        <v>500</v>
      </c>
      <c r="H416" s="241" t="str">
        <f t="shared" si="41"/>
        <v xml:space="preserve">Trotman Special </v>
      </c>
      <c r="I416" s="241" t="s">
        <v>848</v>
      </c>
      <c r="L416" s="351"/>
    </row>
    <row r="417" spans="1:12" ht="12.95" customHeight="1" x14ac:dyDescent="0.2">
      <c r="A417" s="274">
        <v>5519</v>
      </c>
      <c r="B417" s="241" t="str">
        <f t="shared" si="38"/>
        <v>PN</v>
      </c>
      <c r="C417" s="243" t="str">
        <f t="shared" si="39"/>
        <v/>
      </c>
      <c r="D417" s="275" t="s">
        <v>456</v>
      </c>
      <c r="E417" s="214" t="str">
        <f t="shared" si="40"/>
        <v>PN</v>
      </c>
      <c r="F417" s="242">
        <f t="shared" si="42"/>
        <v>5519</v>
      </c>
      <c r="G417" s="264">
        <v>500</v>
      </c>
      <c r="H417" s="241" t="str">
        <f t="shared" si="41"/>
        <v xml:space="preserve">Peterson, Nancy </v>
      </c>
      <c r="I417" s="241" t="s">
        <v>849</v>
      </c>
      <c r="L417" s="351"/>
    </row>
    <row r="418" spans="1:12" ht="12.95" customHeight="1" x14ac:dyDescent="0.2">
      <c r="A418" s="274">
        <v>5520</v>
      </c>
      <c r="B418" s="241" t="str">
        <f t="shared" si="38"/>
        <v>PS</v>
      </c>
      <c r="C418" s="243" t="str">
        <f t="shared" si="39"/>
        <v/>
      </c>
      <c r="D418" s="275" t="s">
        <v>455</v>
      </c>
      <c r="E418" s="214" t="str">
        <f t="shared" si="40"/>
        <v>PS</v>
      </c>
      <c r="F418" s="242">
        <f t="shared" si="42"/>
        <v>5520</v>
      </c>
      <c r="G418" s="264">
        <v>500</v>
      </c>
      <c r="H418" s="241" t="str">
        <f t="shared" si="41"/>
        <v xml:space="preserve">Peterson Special </v>
      </c>
      <c r="I418" s="241" t="s">
        <v>848</v>
      </c>
      <c r="L418" s="351"/>
    </row>
    <row r="419" spans="1:12" ht="12.95" customHeight="1" x14ac:dyDescent="0.2">
      <c r="A419" s="274">
        <v>5521</v>
      </c>
      <c r="B419" s="241" t="str">
        <f t="shared" si="38"/>
        <v>SP</v>
      </c>
      <c r="C419" s="243" t="str">
        <f t="shared" si="39"/>
        <v/>
      </c>
      <c r="D419" s="275" t="s">
        <v>675</v>
      </c>
      <c r="E419" s="214" t="str">
        <f t="shared" si="40"/>
        <v>SP</v>
      </c>
      <c r="F419" s="242">
        <f t="shared" si="42"/>
        <v>5521</v>
      </c>
      <c r="G419" s="264">
        <v>500</v>
      </c>
      <c r="H419" s="241" t="str">
        <f t="shared" si="41"/>
        <v xml:space="preserve">Sample, Peter </v>
      </c>
      <c r="I419" s="241" t="s">
        <v>849</v>
      </c>
      <c r="L419" s="351"/>
    </row>
    <row r="420" spans="1:12" ht="12.95" customHeight="1" x14ac:dyDescent="0.2">
      <c r="A420" s="274">
        <v>5526</v>
      </c>
      <c r="B420" s="241" t="str">
        <f t="shared" si="38"/>
        <v>WJ</v>
      </c>
      <c r="C420" s="243" t="str">
        <f t="shared" si="39"/>
        <v/>
      </c>
      <c r="D420" s="275" t="s">
        <v>1644</v>
      </c>
      <c r="E420" s="214" t="str">
        <f t="shared" si="40"/>
        <v>WJ</v>
      </c>
      <c r="F420" s="242">
        <f t="shared" si="42"/>
        <v>5526</v>
      </c>
      <c r="G420" s="264">
        <v>500</v>
      </c>
      <c r="H420" s="241" t="str">
        <f t="shared" si="41"/>
        <v xml:space="preserve">Woods, Joanna </v>
      </c>
      <c r="I420" s="241" t="s">
        <v>849</v>
      </c>
      <c r="L420" s="351"/>
    </row>
    <row r="421" spans="1:12" ht="12.95" customHeight="1" x14ac:dyDescent="0.2">
      <c r="A421" s="274">
        <v>5527</v>
      </c>
      <c r="B421" s="241" t="str">
        <f t="shared" ref="B421:B457" si="43">E421</f>
        <v>FK</v>
      </c>
      <c r="C421" s="243" t="str">
        <f t="shared" ref="C421:C483" si="44">IFERROR(MID(D421,SEARCH("{",D421,1)+1,SEARCH("}",D421,1)-SEARCH("{",D421,1)-1),"")</f>
        <v/>
      </c>
      <c r="D421" s="275" t="s">
        <v>747</v>
      </c>
      <c r="E421" s="214" t="str">
        <f t="shared" ref="E421:E457" si="45">LEFT(D421,1)&amp;MID(D421,SEARCH(" ",D421,1)+1,1)</f>
        <v>FK</v>
      </c>
      <c r="F421" s="242">
        <f t="shared" si="42"/>
        <v>5527</v>
      </c>
      <c r="G421" s="264">
        <v>500</v>
      </c>
      <c r="H421" s="241" t="str">
        <f t="shared" si="41"/>
        <v xml:space="preserve">Frambes, Kirk &amp; Linda </v>
      </c>
      <c r="I421" s="241" t="s">
        <v>849</v>
      </c>
      <c r="L421" s="351"/>
    </row>
    <row r="422" spans="1:12" ht="12.95" customHeight="1" x14ac:dyDescent="0.2">
      <c r="A422" s="274">
        <v>5529</v>
      </c>
      <c r="B422" s="241" t="str">
        <f t="shared" si="43"/>
        <v>CC</v>
      </c>
      <c r="C422" s="243" t="str">
        <f t="shared" si="44"/>
        <v>Ingram</v>
      </c>
      <c r="D422" s="275" t="s">
        <v>968</v>
      </c>
      <c r="E422" s="214" t="str">
        <f t="shared" si="45"/>
        <v>CC</v>
      </c>
      <c r="F422" s="242">
        <f t="shared" si="42"/>
        <v>5529</v>
      </c>
      <c r="G422" s="264">
        <v>500</v>
      </c>
      <c r="H422" s="241" t="str">
        <f t="shared" si="41"/>
        <v xml:space="preserve">Chicago Christian Stud Mob </v>
      </c>
      <c r="I422" s="241" t="s">
        <v>847</v>
      </c>
      <c r="L422" s="351"/>
    </row>
    <row r="423" spans="1:12" ht="12.95" customHeight="1" x14ac:dyDescent="0.2">
      <c r="A423" s="274">
        <v>5530</v>
      </c>
      <c r="B423" s="241" t="str">
        <f t="shared" si="43"/>
        <v>OA</v>
      </c>
      <c r="C423" s="243" t="str">
        <f t="shared" si="44"/>
        <v/>
      </c>
      <c r="D423" s="275" t="s">
        <v>247</v>
      </c>
      <c r="E423" s="214" t="str">
        <f t="shared" si="45"/>
        <v>OA</v>
      </c>
      <c r="F423" s="242">
        <f t="shared" si="42"/>
        <v>5530</v>
      </c>
      <c r="G423" s="264">
        <v>500</v>
      </c>
      <c r="H423" s="241" t="str">
        <f t="shared" si="41"/>
        <v xml:space="preserve">Ong, Andre </v>
      </c>
      <c r="I423" s="241" t="s">
        <v>849</v>
      </c>
      <c r="L423" s="351"/>
    </row>
    <row r="424" spans="1:12" ht="12.95" customHeight="1" x14ac:dyDescent="0.2">
      <c r="A424" s="274">
        <v>5531</v>
      </c>
      <c r="B424" s="241" t="str">
        <f t="shared" si="43"/>
        <v>SS</v>
      </c>
      <c r="C424" s="243" t="str">
        <f t="shared" si="44"/>
        <v/>
      </c>
      <c r="D424" s="275" t="s">
        <v>695</v>
      </c>
      <c r="E424" s="214" t="str">
        <f t="shared" si="45"/>
        <v>SS</v>
      </c>
      <c r="F424" s="242">
        <f t="shared" si="42"/>
        <v>5531</v>
      </c>
      <c r="G424" s="264">
        <v>500</v>
      </c>
      <c r="H424" s="241" t="str">
        <f t="shared" si="41"/>
        <v xml:space="preserve">Schaeffer Special </v>
      </c>
      <c r="I424" s="241" t="s">
        <v>848</v>
      </c>
      <c r="L424" s="351"/>
    </row>
    <row r="425" spans="1:12" ht="12.95" customHeight="1" x14ac:dyDescent="0.2">
      <c r="A425" s="274">
        <v>5533</v>
      </c>
      <c r="B425" s="241" t="str">
        <f t="shared" si="43"/>
        <v>ES</v>
      </c>
      <c r="C425" s="243" t="str">
        <f t="shared" si="44"/>
        <v/>
      </c>
      <c r="D425" s="275" t="s">
        <v>748</v>
      </c>
      <c r="E425" s="214" t="str">
        <f t="shared" si="45"/>
        <v>ES</v>
      </c>
      <c r="F425" s="242">
        <f t="shared" si="42"/>
        <v>5533</v>
      </c>
      <c r="G425" s="264">
        <v>500</v>
      </c>
      <c r="H425" s="241" t="str">
        <f t="shared" si="41"/>
        <v xml:space="preserve">Elisha, Stephen </v>
      </c>
      <c r="I425" s="241" t="s">
        <v>849</v>
      </c>
      <c r="L425" s="351"/>
    </row>
    <row r="426" spans="1:12" ht="12.95" customHeight="1" x14ac:dyDescent="0.2">
      <c r="A426" s="274">
        <v>5534</v>
      </c>
      <c r="B426" s="241" t="str">
        <f t="shared" si="43"/>
        <v>BE</v>
      </c>
      <c r="C426" s="243" t="str">
        <f t="shared" si="44"/>
        <v/>
      </c>
      <c r="D426" s="275" t="s">
        <v>314</v>
      </c>
      <c r="E426" s="214" t="str">
        <f t="shared" si="45"/>
        <v>BE</v>
      </c>
      <c r="F426" s="242">
        <f t="shared" si="42"/>
        <v>5534</v>
      </c>
      <c r="G426" s="264">
        <v>500</v>
      </c>
      <c r="H426" s="241" t="str">
        <f t="shared" si="41"/>
        <v xml:space="preserve">Blackburn, Eleanor </v>
      </c>
      <c r="I426" s="241" t="s">
        <v>849</v>
      </c>
      <c r="L426" s="351"/>
    </row>
    <row r="427" spans="1:12" ht="12.95" customHeight="1" x14ac:dyDescent="0.2">
      <c r="A427" s="274">
        <v>5536</v>
      </c>
      <c r="B427" s="241" t="str">
        <f t="shared" si="43"/>
        <v>HA</v>
      </c>
      <c r="C427" s="243" t="str">
        <f t="shared" si="44"/>
        <v/>
      </c>
      <c r="D427" s="275" t="s">
        <v>749</v>
      </c>
      <c r="E427" s="214" t="str">
        <f t="shared" si="45"/>
        <v>HA</v>
      </c>
      <c r="F427" s="242">
        <f t="shared" si="42"/>
        <v>5536</v>
      </c>
      <c r="G427" s="264">
        <v>500</v>
      </c>
      <c r="H427" s="241" t="str">
        <f t="shared" si="41"/>
        <v xml:space="preserve">Hohulin, Amy </v>
      </c>
      <c r="I427" s="241" t="s">
        <v>849</v>
      </c>
      <c r="L427" s="351"/>
    </row>
    <row r="428" spans="1:12" ht="12.95" customHeight="1" x14ac:dyDescent="0.2">
      <c r="A428" s="274">
        <v>5537</v>
      </c>
      <c r="B428" s="241" t="str">
        <f t="shared" si="43"/>
        <v>LD</v>
      </c>
      <c r="C428" s="243" t="str">
        <f t="shared" si="44"/>
        <v/>
      </c>
      <c r="D428" s="275" t="s">
        <v>415</v>
      </c>
      <c r="E428" s="214" t="str">
        <f t="shared" si="45"/>
        <v>LD</v>
      </c>
      <c r="F428" s="242">
        <f t="shared" si="42"/>
        <v>5537</v>
      </c>
      <c r="G428" s="264">
        <v>500</v>
      </c>
      <c r="H428" s="241" t="str">
        <f t="shared" si="41"/>
        <v xml:space="preserve">Larson, David &amp; Beth </v>
      </c>
      <c r="I428" s="241" t="s">
        <v>849</v>
      </c>
      <c r="L428" s="351"/>
    </row>
    <row r="429" spans="1:12" ht="12.95" customHeight="1" x14ac:dyDescent="0.2">
      <c r="A429" s="274">
        <v>5538</v>
      </c>
      <c r="B429" s="241" t="str">
        <f t="shared" si="43"/>
        <v>LS</v>
      </c>
      <c r="C429" s="243" t="str">
        <f t="shared" si="44"/>
        <v/>
      </c>
      <c r="D429" s="275" t="s">
        <v>232</v>
      </c>
      <c r="E429" s="214" t="str">
        <f t="shared" si="45"/>
        <v>LS</v>
      </c>
      <c r="F429" s="242">
        <f t="shared" si="42"/>
        <v>5538</v>
      </c>
      <c r="G429" s="264">
        <v>500</v>
      </c>
      <c r="H429" s="241" t="str">
        <f t="shared" si="41"/>
        <v xml:space="preserve">Larson Special Fund </v>
      </c>
      <c r="I429" s="241" t="s">
        <v>848</v>
      </c>
      <c r="L429" s="351"/>
    </row>
    <row r="430" spans="1:12" ht="12.95" customHeight="1" x14ac:dyDescent="0.2">
      <c r="A430" s="274">
        <v>5539</v>
      </c>
      <c r="B430" s="241" t="str">
        <f t="shared" si="43"/>
        <v>DS</v>
      </c>
      <c r="C430" s="243" t="str">
        <f t="shared" si="44"/>
        <v/>
      </c>
      <c r="D430" s="275" t="s">
        <v>709</v>
      </c>
      <c r="E430" s="214" t="str">
        <f t="shared" si="45"/>
        <v>DS</v>
      </c>
      <c r="F430" s="242">
        <f t="shared" si="42"/>
        <v>5539</v>
      </c>
      <c r="G430" s="264">
        <v>500</v>
      </c>
      <c r="H430" s="241" t="str">
        <f t="shared" si="41"/>
        <v xml:space="preserve">David, Samuel </v>
      </c>
      <c r="I430" s="241" t="s">
        <v>849</v>
      </c>
      <c r="L430" s="351"/>
    </row>
    <row r="431" spans="1:12" ht="12.95" customHeight="1" x14ac:dyDescent="0.2">
      <c r="A431" s="274">
        <v>5540</v>
      </c>
      <c r="B431" s="241" t="str">
        <f t="shared" si="43"/>
        <v>ST</v>
      </c>
      <c r="C431" s="243" t="str">
        <f t="shared" si="44"/>
        <v/>
      </c>
      <c r="D431" s="275" t="s">
        <v>479</v>
      </c>
      <c r="E431" s="214" t="str">
        <f t="shared" si="45"/>
        <v>ST</v>
      </c>
      <c r="F431" s="242">
        <f t="shared" si="42"/>
        <v>5540</v>
      </c>
      <c r="G431" s="264">
        <v>500</v>
      </c>
      <c r="H431" s="241" t="str">
        <f t="shared" si="41"/>
        <v xml:space="preserve">Sigman, Tim &amp; Julie  </v>
      </c>
      <c r="I431" s="241" t="s">
        <v>849</v>
      </c>
      <c r="L431" s="351"/>
    </row>
    <row r="432" spans="1:12" ht="12.95" customHeight="1" x14ac:dyDescent="0.2">
      <c r="A432" s="274">
        <v>5541</v>
      </c>
      <c r="B432" s="241" t="str">
        <f t="shared" si="43"/>
        <v>SS</v>
      </c>
      <c r="C432" s="243" t="str">
        <f t="shared" si="44"/>
        <v/>
      </c>
      <c r="D432" s="275" t="s">
        <v>478</v>
      </c>
      <c r="E432" s="214" t="str">
        <f t="shared" si="45"/>
        <v>SS</v>
      </c>
      <c r="F432" s="242">
        <f t="shared" si="42"/>
        <v>5541</v>
      </c>
      <c r="G432" s="264">
        <v>500</v>
      </c>
      <c r="H432" s="241" t="str">
        <f t="shared" si="41"/>
        <v xml:space="preserve">Sigman Special </v>
      </c>
      <c r="I432" s="241" t="s">
        <v>848</v>
      </c>
      <c r="L432" s="351"/>
    </row>
    <row r="433" spans="1:12" ht="12.95" customHeight="1" x14ac:dyDescent="0.2">
      <c r="A433" s="274">
        <v>5542</v>
      </c>
      <c r="B433" s="241" t="str">
        <f t="shared" si="43"/>
        <v>GC</v>
      </c>
      <c r="C433" s="243" t="str">
        <f t="shared" si="44"/>
        <v/>
      </c>
      <c r="D433" s="275" t="s">
        <v>750</v>
      </c>
      <c r="E433" s="214" t="str">
        <f t="shared" si="45"/>
        <v>GC</v>
      </c>
      <c r="F433" s="242">
        <f t="shared" si="42"/>
        <v>5542</v>
      </c>
      <c r="G433" s="264">
        <v>500</v>
      </c>
      <c r="H433" s="241" t="str">
        <f t="shared" si="41"/>
        <v xml:space="preserve">Green, Courtney </v>
      </c>
      <c r="I433" s="241" t="s">
        <v>849</v>
      </c>
      <c r="L433" s="351"/>
    </row>
    <row r="434" spans="1:12" ht="12.95" customHeight="1" x14ac:dyDescent="0.2">
      <c r="A434" s="274">
        <v>5543</v>
      </c>
      <c r="B434" s="241" t="str">
        <f t="shared" si="43"/>
        <v>JB</v>
      </c>
      <c r="C434" s="243" t="str">
        <f t="shared" si="44"/>
        <v/>
      </c>
      <c r="D434" s="275" t="s">
        <v>395</v>
      </c>
      <c r="E434" s="214" t="str">
        <f t="shared" si="45"/>
        <v>JB</v>
      </c>
      <c r="F434" s="242">
        <f t="shared" si="42"/>
        <v>5543</v>
      </c>
      <c r="G434" s="264">
        <v>500</v>
      </c>
      <c r="H434" s="241" t="str">
        <f t="shared" si="41"/>
        <v xml:space="preserve">Jackson Bob &amp; Sandra Special </v>
      </c>
      <c r="I434" s="241" t="s">
        <v>848</v>
      </c>
      <c r="L434" s="351"/>
    </row>
    <row r="435" spans="1:12" ht="12.95" customHeight="1" x14ac:dyDescent="0.2">
      <c r="A435" s="274">
        <v>5544</v>
      </c>
      <c r="B435" s="241" t="str">
        <f t="shared" si="43"/>
        <v>FA</v>
      </c>
      <c r="C435" s="243" t="str">
        <f t="shared" si="44"/>
        <v/>
      </c>
      <c r="D435" s="275" t="s">
        <v>751</v>
      </c>
      <c r="E435" s="214" t="str">
        <f t="shared" si="45"/>
        <v>FA</v>
      </c>
      <c r="F435" s="242">
        <f t="shared" si="42"/>
        <v>5544</v>
      </c>
      <c r="G435" s="264">
        <v>500</v>
      </c>
      <c r="H435" s="241" t="str">
        <f t="shared" ref="H435:H498" si="46">LEFT(D435,SEARCH("(",D435,1)-1)</f>
        <v xml:space="preserve">Ford, Andrea </v>
      </c>
      <c r="I435" s="241" t="s">
        <v>849</v>
      </c>
      <c r="L435" s="351"/>
    </row>
    <row r="436" spans="1:12" ht="12.95" customHeight="1" x14ac:dyDescent="0.2">
      <c r="A436" s="274">
        <v>5548</v>
      </c>
      <c r="B436" s="241" t="str">
        <f t="shared" si="43"/>
        <v>BP</v>
      </c>
      <c r="C436" s="243" t="str">
        <f t="shared" si="44"/>
        <v/>
      </c>
      <c r="D436" s="275" t="s">
        <v>752</v>
      </c>
      <c r="E436" s="214" t="str">
        <f t="shared" si="45"/>
        <v>BP</v>
      </c>
      <c r="F436" s="242">
        <f t="shared" si="42"/>
        <v>5548</v>
      </c>
      <c r="G436" s="264">
        <v>500</v>
      </c>
      <c r="H436" s="241" t="str">
        <f t="shared" si="46"/>
        <v xml:space="preserve">Bull, Patricia </v>
      </c>
      <c r="I436" s="241" t="s">
        <v>849</v>
      </c>
      <c r="L436" s="351"/>
    </row>
    <row r="437" spans="1:12" ht="12.95" customHeight="1" x14ac:dyDescent="0.2">
      <c r="A437" s="274">
        <v>5549</v>
      </c>
      <c r="B437" s="241" t="str">
        <f t="shared" si="43"/>
        <v>NQ</v>
      </c>
      <c r="C437" s="243" t="str">
        <f t="shared" si="44"/>
        <v/>
      </c>
      <c r="D437" s="275" t="s">
        <v>444</v>
      </c>
      <c r="E437" s="214" t="str">
        <f t="shared" si="45"/>
        <v>NQ</v>
      </c>
      <c r="F437" s="242">
        <f t="shared" si="42"/>
        <v>5549</v>
      </c>
      <c r="G437" s="264">
        <v>500</v>
      </c>
      <c r="H437" s="241" t="str">
        <f t="shared" si="46"/>
        <v xml:space="preserve">Ndibongo, Quintin </v>
      </c>
      <c r="I437" s="241" t="s">
        <v>849</v>
      </c>
      <c r="L437" s="351"/>
    </row>
    <row r="438" spans="1:12" ht="12.95" customHeight="1" x14ac:dyDescent="0.2">
      <c r="A438" s="274">
        <v>5550</v>
      </c>
      <c r="B438" s="241" t="str">
        <f t="shared" si="43"/>
        <v>BJ</v>
      </c>
      <c r="C438" s="243" t="str">
        <f t="shared" si="44"/>
        <v/>
      </c>
      <c r="D438" s="275" t="s">
        <v>753</v>
      </c>
      <c r="E438" s="214" t="str">
        <f t="shared" si="45"/>
        <v>BJ</v>
      </c>
      <c r="F438" s="242">
        <f t="shared" si="42"/>
        <v>5550</v>
      </c>
      <c r="G438" s="264">
        <v>500</v>
      </c>
      <c r="H438" s="241" t="str">
        <f t="shared" si="46"/>
        <v xml:space="preserve">Bergman, Jeff &amp; Michiko </v>
      </c>
      <c r="I438" s="241" t="s">
        <v>849</v>
      </c>
      <c r="L438" s="351"/>
    </row>
    <row r="439" spans="1:12" ht="12.95" customHeight="1" x14ac:dyDescent="0.2">
      <c r="A439" s="274">
        <v>5551</v>
      </c>
      <c r="B439" s="241" t="str">
        <f t="shared" si="43"/>
        <v>CT</v>
      </c>
      <c r="C439" s="243" t="str">
        <f t="shared" si="44"/>
        <v/>
      </c>
      <c r="D439" s="275" t="s">
        <v>754</v>
      </c>
      <c r="E439" s="214" t="str">
        <f t="shared" si="45"/>
        <v>CT</v>
      </c>
      <c r="F439" s="242">
        <f t="shared" si="42"/>
        <v>5551</v>
      </c>
      <c r="G439" s="264">
        <v>500</v>
      </c>
      <c r="H439" s="241" t="str">
        <f t="shared" si="46"/>
        <v xml:space="preserve">Cermak, Tony &amp; Dayna </v>
      </c>
      <c r="I439" s="241" t="s">
        <v>849</v>
      </c>
      <c r="L439" s="351"/>
    </row>
    <row r="440" spans="1:12" ht="12.95" customHeight="1" x14ac:dyDescent="0.2">
      <c r="A440" s="274">
        <v>5552</v>
      </c>
      <c r="B440" s="241" t="str">
        <f t="shared" si="43"/>
        <v>HR</v>
      </c>
      <c r="C440" s="243" t="str">
        <f t="shared" si="44"/>
        <v/>
      </c>
      <c r="D440" s="275" t="s">
        <v>381</v>
      </c>
      <c r="E440" s="214" t="str">
        <f t="shared" si="45"/>
        <v>HR</v>
      </c>
      <c r="F440" s="242">
        <f t="shared" si="42"/>
        <v>5552</v>
      </c>
      <c r="G440" s="264">
        <v>500</v>
      </c>
      <c r="H440" s="241" t="str">
        <f t="shared" si="46"/>
        <v xml:space="preserve">Hansen, Randy </v>
      </c>
      <c r="I440" s="241" t="s">
        <v>849</v>
      </c>
      <c r="L440" s="351"/>
    </row>
    <row r="441" spans="1:12" ht="12.95" customHeight="1" x14ac:dyDescent="0.2">
      <c r="A441" s="274">
        <v>5553</v>
      </c>
      <c r="B441" s="241" t="str">
        <f t="shared" si="43"/>
        <v>PG</v>
      </c>
      <c r="C441" s="243" t="str">
        <f t="shared" si="44"/>
        <v/>
      </c>
      <c r="D441" s="275" t="s">
        <v>801</v>
      </c>
      <c r="E441" s="214" t="str">
        <f t="shared" si="45"/>
        <v>PG</v>
      </c>
      <c r="F441" s="242">
        <f t="shared" si="42"/>
        <v>5553</v>
      </c>
      <c r="G441" s="264">
        <v>500</v>
      </c>
      <c r="H441" s="241" t="str">
        <f t="shared" si="46"/>
        <v xml:space="preserve">Price, George &amp; Linda </v>
      </c>
      <c r="I441" s="241" t="s">
        <v>849</v>
      </c>
      <c r="L441" s="351"/>
    </row>
    <row r="442" spans="1:12" ht="12.95" customHeight="1" x14ac:dyDescent="0.2">
      <c r="A442" s="274">
        <v>5554</v>
      </c>
      <c r="B442" s="241" t="str">
        <f t="shared" si="43"/>
        <v>QK</v>
      </c>
      <c r="C442" s="243" t="str">
        <f t="shared" si="44"/>
        <v/>
      </c>
      <c r="D442" s="275" t="s">
        <v>463</v>
      </c>
      <c r="E442" s="214" t="str">
        <f t="shared" si="45"/>
        <v>QK</v>
      </c>
      <c r="F442" s="242">
        <f t="shared" si="42"/>
        <v>5554</v>
      </c>
      <c r="G442" s="264">
        <v>500</v>
      </c>
      <c r="H442" s="241" t="str">
        <f t="shared" si="46"/>
        <v xml:space="preserve">Quinn, Kevin &amp; Lynne </v>
      </c>
      <c r="I442" s="241" t="s">
        <v>849</v>
      </c>
      <c r="L442" s="351"/>
    </row>
    <row r="443" spans="1:12" ht="12.95" customHeight="1" x14ac:dyDescent="0.2">
      <c r="A443" s="274">
        <v>5557</v>
      </c>
      <c r="B443" s="241" t="str">
        <f t="shared" si="43"/>
        <v>GP</v>
      </c>
      <c r="C443" s="243" t="str">
        <f t="shared" si="44"/>
        <v/>
      </c>
      <c r="D443" s="275" t="s">
        <v>710</v>
      </c>
      <c r="E443" s="214" t="str">
        <f t="shared" si="45"/>
        <v>GP</v>
      </c>
      <c r="F443" s="242">
        <f t="shared" si="42"/>
        <v>5557</v>
      </c>
      <c r="G443" s="264">
        <v>500</v>
      </c>
      <c r="H443" s="241" t="str">
        <f t="shared" si="46"/>
        <v xml:space="preserve">Gunderson, Paul </v>
      </c>
      <c r="I443" s="241" t="s">
        <v>849</v>
      </c>
      <c r="L443" s="351"/>
    </row>
    <row r="444" spans="1:12" ht="12.95" customHeight="1" x14ac:dyDescent="0.2">
      <c r="A444" s="274">
        <v>5559</v>
      </c>
      <c r="B444" s="241" t="str">
        <f t="shared" si="43"/>
        <v>AN</v>
      </c>
      <c r="C444" s="243" t="str">
        <f t="shared" si="44"/>
        <v/>
      </c>
      <c r="D444" s="275" t="s">
        <v>301</v>
      </c>
      <c r="E444" s="214" t="str">
        <f t="shared" si="45"/>
        <v>AN</v>
      </c>
      <c r="F444" s="242">
        <f t="shared" si="42"/>
        <v>5559</v>
      </c>
      <c r="G444" s="274">
        <v>500</v>
      </c>
      <c r="H444" s="241" t="str">
        <f t="shared" si="46"/>
        <v xml:space="preserve">Allen Norm Special </v>
      </c>
      <c r="I444" s="241" t="s">
        <v>848</v>
      </c>
      <c r="L444" s="351"/>
    </row>
    <row r="445" spans="1:12" ht="12.95" customHeight="1" x14ac:dyDescent="0.2">
      <c r="A445" s="274">
        <v>5560</v>
      </c>
      <c r="B445" s="241" t="str">
        <f t="shared" si="43"/>
        <v>CS</v>
      </c>
      <c r="C445" s="243" t="str">
        <f t="shared" si="44"/>
        <v/>
      </c>
      <c r="D445" s="275" t="s">
        <v>755</v>
      </c>
      <c r="E445" s="214" t="str">
        <f t="shared" si="45"/>
        <v>CS</v>
      </c>
      <c r="F445" s="242">
        <f t="shared" si="42"/>
        <v>5560</v>
      </c>
      <c r="G445" s="274">
        <v>500</v>
      </c>
      <c r="H445" s="241" t="str">
        <f t="shared" si="46"/>
        <v xml:space="preserve">Carroll, Sam &amp; Joanne </v>
      </c>
      <c r="I445" s="241" t="s">
        <v>849</v>
      </c>
      <c r="L445" s="351"/>
    </row>
    <row r="446" spans="1:12" ht="12.95" customHeight="1" x14ac:dyDescent="0.2">
      <c r="A446" s="274">
        <v>5561</v>
      </c>
      <c r="B446" s="241" t="str">
        <f t="shared" si="43"/>
        <v>AJ</v>
      </c>
      <c r="C446" s="243" t="str">
        <f t="shared" si="44"/>
        <v/>
      </c>
      <c r="D446" s="275" t="s">
        <v>307</v>
      </c>
      <c r="E446" s="214" t="str">
        <f t="shared" si="45"/>
        <v>AJ</v>
      </c>
      <c r="F446" s="242">
        <f t="shared" si="42"/>
        <v>5561</v>
      </c>
      <c r="G446" s="274">
        <v>500</v>
      </c>
      <c r="H446" s="241" t="str">
        <f t="shared" si="46"/>
        <v xml:space="preserve">Antoniuk, Jeanette </v>
      </c>
      <c r="I446" s="241" t="s">
        <v>849</v>
      </c>
      <c r="L446" s="351"/>
    </row>
    <row r="447" spans="1:12" ht="12.95" customHeight="1" x14ac:dyDescent="0.2">
      <c r="A447" s="274">
        <v>5562</v>
      </c>
      <c r="B447" s="241" t="str">
        <f t="shared" si="43"/>
        <v>GA</v>
      </c>
      <c r="C447" s="243" t="str">
        <f t="shared" si="44"/>
        <v/>
      </c>
      <c r="D447" s="275" t="s">
        <v>377</v>
      </c>
      <c r="E447" s="214" t="str">
        <f t="shared" si="45"/>
        <v>GA</v>
      </c>
      <c r="F447" s="242">
        <f t="shared" si="42"/>
        <v>5562</v>
      </c>
      <c r="G447" s="274">
        <v>500</v>
      </c>
      <c r="H447" s="241" t="str">
        <f t="shared" si="46"/>
        <v xml:space="preserve">Grove, Andy </v>
      </c>
      <c r="I447" s="241" t="s">
        <v>849</v>
      </c>
      <c r="L447" s="351"/>
    </row>
    <row r="448" spans="1:12" ht="12.95" customHeight="1" x14ac:dyDescent="0.2">
      <c r="A448" s="274">
        <v>5563</v>
      </c>
      <c r="B448" s="241" t="str">
        <f t="shared" si="43"/>
        <v>FS</v>
      </c>
      <c r="C448" s="243" t="str">
        <f t="shared" si="44"/>
        <v/>
      </c>
      <c r="D448" s="275" t="s">
        <v>756</v>
      </c>
      <c r="E448" s="214" t="str">
        <f t="shared" si="45"/>
        <v>FS</v>
      </c>
      <c r="F448" s="242">
        <f t="shared" si="42"/>
        <v>5563</v>
      </c>
      <c r="G448" s="274">
        <v>500</v>
      </c>
      <c r="H448" s="241" t="str">
        <f t="shared" si="46"/>
        <v xml:space="preserve">Flammini, Steven &amp; Sandra </v>
      </c>
      <c r="I448" s="241" t="s">
        <v>849</v>
      </c>
      <c r="L448" s="351"/>
    </row>
    <row r="449" spans="1:12" ht="12.95" customHeight="1" x14ac:dyDescent="0.2">
      <c r="A449" s="274">
        <v>5565</v>
      </c>
      <c r="B449" s="241" t="str">
        <f t="shared" si="43"/>
        <v>HS</v>
      </c>
      <c r="C449" s="243" t="str">
        <f t="shared" si="44"/>
        <v/>
      </c>
      <c r="D449" s="275" t="s">
        <v>390</v>
      </c>
      <c r="E449" s="214" t="str">
        <f t="shared" si="45"/>
        <v>HS</v>
      </c>
      <c r="F449" s="242">
        <f t="shared" si="42"/>
        <v>5565</v>
      </c>
      <c r="G449" s="274">
        <v>500</v>
      </c>
      <c r="H449" s="241" t="str">
        <f t="shared" si="46"/>
        <v xml:space="preserve">Hinke Special </v>
      </c>
      <c r="I449" s="241" t="s">
        <v>848</v>
      </c>
      <c r="L449" s="351"/>
    </row>
    <row r="450" spans="1:12" ht="12.95" customHeight="1" x14ac:dyDescent="0.2">
      <c r="A450" s="274">
        <v>5566</v>
      </c>
      <c r="B450" s="241" t="str">
        <f t="shared" si="43"/>
        <v>BP</v>
      </c>
      <c r="C450" s="243" t="str">
        <f t="shared" si="44"/>
        <v/>
      </c>
      <c r="D450" s="275" t="s">
        <v>696</v>
      </c>
      <c r="E450" s="214" t="str">
        <f t="shared" si="45"/>
        <v>BP</v>
      </c>
      <c r="F450" s="242">
        <f t="shared" si="42"/>
        <v>5566</v>
      </c>
      <c r="G450" s="274">
        <v>500</v>
      </c>
      <c r="H450" s="241" t="str">
        <f t="shared" si="46"/>
        <v xml:space="preserve">Burton, Paul </v>
      </c>
      <c r="I450" s="241" t="s">
        <v>849</v>
      </c>
      <c r="L450" s="351"/>
    </row>
    <row r="451" spans="1:12" ht="12.95" customHeight="1" x14ac:dyDescent="0.2">
      <c r="A451" s="274">
        <v>5567</v>
      </c>
      <c r="B451" s="241" t="str">
        <f t="shared" si="43"/>
        <v>LA</v>
      </c>
      <c r="C451" s="243" t="str">
        <f t="shared" si="44"/>
        <v/>
      </c>
      <c r="D451" s="275" t="s">
        <v>687</v>
      </c>
      <c r="E451" s="214" t="str">
        <f t="shared" si="45"/>
        <v>LA</v>
      </c>
      <c r="F451" s="242">
        <f t="shared" si="42"/>
        <v>5567</v>
      </c>
      <c r="G451" s="274">
        <v>500</v>
      </c>
      <c r="H451" s="241" t="str">
        <f t="shared" si="46"/>
        <v xml:space="preserve">Lapinski, Angela </v>
      </c>
      <c r="I451" s="241" t="s">
        <v>849</v>
      </c>
      <c r="L451" s="351"/>
    </row>
    <row r="452" spans="1:12" ht="12.95" customHeight="1" x14ac:dyDescent="0.2">
      <c r="A452" s="274">
        <v>5568</v>
      </c>
      <c r="B452" s="241" t="str">
        <f t="shared" si="43"/>
        <v>MH</v>
      </c>
      <c r="C452" s="243" t="str">
        <f t="shared" si="44"/>
        <v/>
      </c>
      <c r="D452" s="275" t="s">
        <v>688</v>
      </c>
      <c r="E452" s="214" t="str">
        <f t="shared" si="45"/>
        <v>MH</v>
      </c>
      <c r="F452" s="242">
        <f t="shared" si="42"/>
        <v>5568</v>
      </c>
      <c r="G452" s="274">
        <v>500</v>
      </c>
      <c r="H452" s="241" t="str">
        <f t="shared" si="46"/>
        <v xml:space="preserve">Mualim, Hendry </v>
      </c>
      <c r="I452" s="241" t="s">
        <v>849</v>
      </c>
      <c r="L452" s="351"/>
    </row>
    <row r="453" spans="1:12" ht="12.95" customHeight="1" x14ac:dyDescent="0.2">
      <c r="A453" s="274">
        <v>5572</v>
      </c>
      <c r="B453" s="241" t="str">
        <f t="shared" si="43"/>
        <v>JS</v>
      </c>
      <c r="C453" s="243" t="str">
        <f t="shared" si="44"/>
        <v/>
      </c>
      <c r="D453" s="275" t="s">
        <v>398</v>
      </c>
      <c r="E453" s="214" t="str">
        <f t="shared" si="45"/>
        <v>JS</v>
      </c>
      <c r="F453" s="242">
        <f t="shared" si="42"/>
        <v>5572</v>
      </c>
      <c r="G453" s="274">
        <v>500</v>
      </c>
      <c r="H453" s="241" t="str">
        <f t="shared" si="46"/>
        <v xml:space="preserve">Joseph, Sabu </v>
      </c>
      <c r="I453" s="241" t="s">
        <v>849</v>
      </c>
      <c r="L453" s="351"/>
    </row>
    <row r="454" spans="1:12" ht="12.95" customHeight="1" x14ac:dyDescent="0.2">
      <c r="A454" s="274">
        <v>5573</v>
      </c>
      <c r="B454" s="241" t="str">
        <f t="shared" si="43"/>
        <v>JS</v>
      </c>
      <c r="C454" s="243" t="str">
        <f t="shared" si="44"/>
        <v/>
      </c>
      <c r="D454" s="275" t="s">
        <v>227</v>
      </c>
      <c r="E454" s="214" t="str">
        <f t="shared" si="45"/>
        <v>JS</v>
      </c>
      <c r="F454" s="242">
        <f t="shared" si="42"/>
        <v>5573</v>
      </c>
      <c r="G454" s="274">
        <v>500</v>
      </c>
      <c r="H454" s="241" t="str">
        <f t="shared" si="46"/>
        <v xml:space="preserve">Joseph Special </v>
      </c>
      <c r="I454" s="241" t="s">
        <v>848</v>
      </c>
      <c r="L454" s="351"/>
    </row>
    <row r="455" spans="1:12" ht="12.95" customHeight="1" x14ac:dyDescent="0.2">
      <c r="A455" s="274">
        <v>5574</v>
      </c>
      <c r="B455" s="241" t="str">
        <f t="shared" si="43"/>
        <v>IS</v>
      </c>
      <c r="C455" s="243" t="str">
        <f t="shared" si="44"/>
        <v/>
      </c>
      <c r="D455" s="275" t="s">
        <v>697</v>
      </c>
      <c r="E455" s="214" t="str">
        <f t="shared" si="45"/>
        <v>IS</v>
      </c>
      <c r="F455" s="242">
        <f t="shared" si="42"/>
        <v>5574</v>
      </c>
      <c r="G455" s="274">
        <v>500</v>
      </c>
      <c r="H455" s="241" t="str">
        <f t="shared" si="46"/>
        <v xml:space="preserve">Innis, Shirley </v>
      </c>
      <c r="I455" s="241" t="s">
        <v>849</v>
      </c>
      <c r="L455" s="351"/>
    </row>
    <row r="456" spans="1:12" ht="12.95" customHeight="1" x14ac:dyDescent="0.2">
      <c r="A456" s="274">
        <v>5575</v>
      </c>
      <c r="B456" s="241" t="str">
        <f t="shared" si="43"/>
        <v>HS</v>
      </c>
      <c r="C456" s="243" t="str">
        <f t="shared" si="44"/>
        <v/>
      </c>
      <c r="D456" s="275" t="s">
        <v>387</v>
      </c>
      <c r="E456" s="214" t="str">
        <f t="shared" si="45"/>
        <v>HS</v>
      </c>
      <c r="F456" s="242">
        <f t="shared" ref="F456:F483" si="47">A456</f>
        <v>5575</v>
      </c>
      <c r="G456" s="274">
        <v>500</v>
      </c>
      <c r="H456" s="241" t="str">
        <f t="shared" si="46"/>
        <v xml:space="preserve">Hawkins, Scott </v>
      </c>
      <c r="I456" s="241" t="s">
        <v>849</v>
      </c>
      <c r="L456" s="351"/>
    </row>
    <row r="457" spans="1:12" ht="12.95" customHeight="1" x14ac:dyDescent="0.2">
      <c r="A457" s="274">
        <v>5576</v>
      </c>
      <c r="B457" s="241" t="str">
        <f t="shared" si="43"/>
        <v>CK</v>
      </c>
      <c r="C457" s="243" t="str">
        <f t="shared" si="44"/>
        <v/>
      </c>
      <c r="D457" s="275" t="s">
        <v>757</v>
      </c>
      <c r="E457" s="214" t="str">
        <f t="shared" si="45"/>
        <v>CK</v>
      </c>
      <c r="F457" s="242">
        <f t="shared" si="47"/>
        <v>5576</v>
      </c>
      <c r="G457" s="274">
        <v>500</v>
      </c>
      <c r="H457" s="241" t="str">
        <f t="shared" si="46"/>
        <v xml:space="preserve">Chau, Kenny </v>
      </c>
      <c r="I457" s="241" t="s">
        <v>849</v>
      </c>
      <c r="L457" s="351"/>
    </row>
    <row r="458" spans="1:12" ht="12.95" customHeight="1" x14ac:dyDescent="0.2">
      <c r="A458" s="274">
        <v>5577</v>
      </c>
      <c r="B458" s="241"/>
      <c r="C458" s="243" t="str">
        <f t="shared" si="44"/>
        <v/>
      </c>
      <c r="D458" s="275" t="s">
        <v>226</v>
      </c>
      <c r="E458" s="214" t="s">
        <v>790</v>
      </c>
      <c r="F458" s="242">
        <f t="shared" si="47"/>
        <v>5577</v>
      </c>
      <c r="G458" s="274">
        <v>500</v>
      </c>
      <c r="H458" s="241" t="str">
        <f t="shared" si="46"/>
        <v xml:space="preserve">Johnson, Edith </v>
      </c>
      <c r="I458" s="241" t="s">
        <v>849</v>
      </c>
      <c r="L458" s="351"/>
    </row>
    <row r="459" spans="1:12" ht="12.95" customHeight="1" x14ac:dyDescent="0.2">
      <c r="A459" s="274">
        <v>5578</v>
      </c>
      <c r="B459" s="241" t="str">
        <f t="shared" ref="B459:B483" si="48">E459</f>
        <v>MJ</v>
      </c>
      <c r="C459" s="243" t="str">
        <f t="shared" si="44"/>
        <v/>
      </c>
      <c r="D459" s="275" t="s">
        <v>698</v>
      </c>
      <c r="E459" s="214" t="str">
        <f t="shared" ref="E459:E483" si="49">LEFT(D459,1)&amp;MID(D459,SEARCH(" ",D459,1)+1,1)</f>
        <v>MJ</v>
      </c>
      <c r="F459" s="242">
        <f t="shared" si="47"/>
        <v>5578</v>
      </c>
      <c r="G459" s="274">
        <v>500</v>
      </c>
      <c r="H459" s="241" t="str">
        <f t="shared" si="46"/>
        <v xml:space="preserve">Mohamed, Jaber </v>
      </c>
      <c r="I459" s="241" t="s">
        <v>849</v>
      </c>
      <c r="L459" s="351"/>
    </row>
    <row r="460" spans="1:12" ht="12.95" customHeight="1" x14ac:dyDescent="0.2">
      <c r="A460" s="274">
        <v>5579</v>
      </c>
      <c r="B460" s="241" t="str">
        <f t="shared" si="48"/>
        <v>PS</v>
      </c>
      <c r="C460" s="243" t="str">
        <f t="shared" si="44"/>
        <v/>
      </c>
      <c r="D460" s="275" t="s">
        <v>457</v>
      </c>
      <c r="E460" s="214" t="str">
        <f t="shared" si="49"/>
        <v>PS</v>
      </c>
      <c r="F460" s="242">
        <f t="shared" si="47"/>
        <v>5579</v>
      </c>
      <c r="G460" s="274">
        <v>500</v>
      </c>
      <c r="H460" s="241" t="str">
        <f t="shared" si="46"/>
        <v xml:space="preserve">Pierce Special </v>
      </c>
      <c r="I460" s="241" t="s">
        <v>848</v>
      </c>
      <c r="L460" s="351"/>
    </row>
    <row r="461" spans="1:12" ht="12.95" customHeight="1" x14ac:dyDescent="0.2">
      <c r="A461" s="274">
        <v>5580</v>
      </c>
      <c r="B461" s="241" t="str">
        <f t="shared" si="48"/>
        <v>FS</v>
      </c>
      <c r="C461" s="243" t="str">
        <f t="shared" si="44"/>
        <v/>
      </c>
      <c r="D461" s="275" t="s">
        <v>758</v>
      </c>
      <c r="E461" s="214" t="str">
        <f t="shared" si="49"/>
        <v>FS</v>
      </c>
      <c r="F461" s="242">
        <f t="shared" si="47"/>
        <v>5580</v>
      </c>
      <c r="G461" s="274">
        <v>500</v>
      </c>
      <c r="H461" s="241" t="str">
        <f t="shared" si="46"/>
        <v xml:space="preserve">Fatty, Sainey </v>
      </c>
      <c r="I461" s="241" t="s">
        <v>849</v>
      </c>
      <c r="L461" s="351"/>
    </row>
    <row r="462" spans="1:12" ht="12.95" customHeight="1" x14ac:dyDescent="0.2">
      <c r="A462" s="274">
        <v>5581</v>
      </c>
      <c r="B462" s="241" t="str">
        <f t="shared" si="48"/>
        <v>BJ</v>
      </c>
      <c r="C462" s="243" t="str">
        <f t="shared" si="44"/>
        <v/>
      </c>
      <c r="D462" s="275" t="s">
        <v>312</v>
      </c>
      <c r="E462" s="214" t="str">
        <f t="shared" si="49"/>
        <v>BJ</v>
      </c>
      <c r="F462" s="242">
        <f t="shared" si="47"/>
        <v>5581</v>
      </c>
      <c r="G462" s="274">
        <v>500</v>
      </c>
      <c r="H462" s="241" t="str">
        <f t="shared" si="46"/>
        <v xml:space="preserve">Berger, John &amp; Linda </v>
      </c>
      <c r="I462" s="241" t="s">
        <v>849</v>
      </c>
      <c r="L462" s="351"/>
    </row>
    <row r="463" spans="1:12" ht="12.95" customHeight="1" x14ac:dyDescent="0.2">
      <c r="A463" s="274">
        <v>5582</v>
      </c>
      <c r="B463" s="241" t="str">
        <f t="shared" si="48"/>
        <v>BS</v>
      </c>
      <c r="C463" s="243" t="str">
        <f t="shared" si="44"/>
        <v/>
      </c>
      <c r="D463" s="275" t="s">
        <v>194</v>
      </c>
      <c r="E463" s="214" t="str">
        <f t="shared" si="49"/>
        <v>BS</v>
      </c>
      <c r="F463" s="242">
        <f t="shared" si="47"/>
        <v>5582</v>
      </c>
      <c r="G463" s="274">
        <v>500</v>
      </c>
      <c r="H463" s="241" t="str">
        <f t="shared" si="46"/>
        <v xml:space="preserve">Berger Special </v>
      </c>
      <c r="I463" s="241" t="s">
        <v>848</v>
      </c>
      <c r="L463" s="351"/>
    </row>
    <row r="464" spans="1:12" ht="12.95" customHeight="1" x14ac:dyDescent="0.2">
      <c r="A464" s="274">
        <v>5584</v>
      </c>
      <c r="B464" s="241" t="str">
        <f t="shared" si="48"/>
        <v>BJ</v>
      </c>
      <c r="C464" s="243" t="str">
        <f t="shared" si="44"/>
        <v/>
      </c>
      <c r="D464" s="275" t="s">
        <v>802</v>
      </c>
      <c r="E464" s="214" t="str">
        <f t="shared" si="49"/>
        <v>BJ</v>
      </c>
      <c r="F464" s="242">
        <f t="shared" si="47"/>
        <v>5584</v>
      </c>
      <c r="G464" s="274">
        <v>500</v>
      </c>
      <c r="H464" s="241" t="str">
        <f t="shared" si="46"/>
        <v xml:space="preserve">Billings, Judy </v>
      </c>
      <c r="I464" s="241" t="s">
        <v>849</v>
      </c>
      <c r="L464" s="351"/>
    </row>
    <row r="465" spans="1:12" ht="12.95" customHeight="1" x14ac:dyDescent="0.2">
      <c r="A465" s="274">
        <v>5585</v>
      </c>
      <c r="B465" s="241" t="str">
        <f t="shared" si="48"/>
        <v>GJ</v>
      </c>
      <c r="C465" s="243" t="str">
        <f t="shared" si="44"/>
        <v/>
      </c>
      <c r="D465" s="275" t="s">
        <v>221</v>
      </c>
      <c r="E465" s="214" t="str">
        <f t="shared" si="49"/>
        <v>GJ</v>
      </c>
      <c r="F465" s="242">
        <f t="shared" si="47"/>
        <v>5585</v>
      </c>
      <c r="G465" s="274">
        <v>500</v>
      </c>
      <c r="H465" s="241" t="str">
        <f t="shared" si="46"/>
        <v xml:space="preserve">Gordon, Jocelyn </v>
      </c>
      <c r="I465" s="241" t="s">
        <v>849</v>
      </c>
      <c r="L465" s="353"/>
    </row>
    <row r="466" spans="1:12" ht="12.95" customHeight="1" x14ac:dyDescent="0.2">
      <c r="A466" s="274">
        <v>5586</v>
      </c>
      <c r="B466" s="241" t="str">
        <f t="shared" si="48"/>
        <v>HS</v>
      </c>
      <c r="C466" s="243" t="str">
        <f t="shared" si="44"/>
        <v/>
      </c>
      <c r="D466" s="275" t="s">
        <v>224</v>
      </c>
      <c r="E466" s="214" t="str">
        <f t="shared" si="49"/>
        <v>HS</v>
      </c>
      <c r="F466" s="242">
        <f t="shared" si="47"/>
        <v>5586</v>
      </c>
      <c r="G466" s="274">
        <v>500</v>
      </c>
      <c r="H466" s="241" t="str">
        <f t="shared" si="46"/>
        <v xml:space="preserve">Hawkins Special </v>
      </c>
      <c r="I466" s="241" t="s">
        <v>848</v>
      </c>
    </row>
    <row r="467" spans="1:12" ht="12.95" customHeight="1" x14ac:dyDescent="0.2">
      <c r="A467" s="274">
        <v>5587</v>
      </c>
      <c r="B467" s="241" t="str">
        <f t="shared" si="48"/>
        <v>CH</v>
      </c>
      <c r="C467" s="243" t="str">
        <f t="shared" si="44"/>
        <v/>
      </c>
      <c r="D467" s="275" t="s">
        <v>803</v>
      </c>
      <c r="E467" s="214" t="str">
        <f t="shared" si="49"/>
        <v>CH</v>
      </c>
      <c r="F467" s="242">
        <f t="shared" si="47"/>
        <v>5587</v>
      </c>
      <c r="G467" s="274">
        <v>500</v>
      </c>
      <c r="H467" s="241" t="str">
        <f t="shared" si="46"/>
        <v xml:space="preserve">Combs, Hunter </v>
      </c>
      <c r="I467" s="241" t="s">
        <v>849</v>
      </c>
    </row>
    <row r="468" spans="1:12" ht="12.95" customHeight="1" x14ac:dyDescent="0.2">
      <c r="A468" s="274">
        <v>5588</v>
      </c>
      <c r="B468" s="241" t="str">
        <f t="shared" si="48"/>
        <v>PG</v>
      </c>
      <c r="C468" s="243" t="str">
        <f t="shared" si="44"/>
        <v/>
      </c>
      <c r="D468" s="275" t="s">
        <v>827</v>
      </c>
      <c r="E468" s="214" t="str">
        <f t="shared" si="49"/>
        <v>PG</v>
      </c>
      <c r="F468" s="242">
        <f t="shared" si="47"/>
        <v>5588</v>
      </c>
      <c r="G468" s="274">
        <v>500</v>
      </c>
      <c r="H468" s="241" t="str">
        <f t="shared" si="46"/>
        <v xml:space="preserve">Purcell, Graham </v>
      </c>
      <c r="I468" s="241" t="s">
        <v>849</v>
      </c>
    </row>
    <row r="469" spans="1:12" ht="12.95" customHeight="1" x14ac:dyDescent="0.2">
      <c r="A469" s="274">
        <v>5590</v>
      </c>
      <c r="B469" s="241" t="str">
        <f t="shared" si="48"/>
        <v>WJ</v>
      </c>
      <c r="C469" s="243" t="str">
        <f t="shared" si="44"/>
        <v/>
      </c>
      <c r="D469" s="275" t="s">
        <v>273</v>
      </c>
      <c r="E469" s="214" t="str">
        <f t="shared" si="49"/>
        <v>WJ</v>
      </c>
      <c r="F469" s="242">
        <f t="shared" si="47"/>
        <v>5590</v>
      </c>
      <c r="G469" s="274">
        <v>500</v>
      </c>
      <c r="H469" s="241" t="str">
        <f t="shared" si="46"/>
        <v xml:space="preserve">Wesselink, Jesse </v>
      </c>
      <c r="I469" s="241" t="s">
        <v>849</v>
      </c>
    </row>
    <row r="470" spans="1:12" ht="12.95" customHeight="1" x14ac:dyDescent="0.2">
      <c r="A470" s="274">
        <v>5591</v>
      </c>
      <c r="B470" s="241" t="str">
        <f t="shared" si="48"/>
        <v>CA</v>
      </c>
      <c r="C470" s="243" t="str">
        <f t="shared" si="44"/>
        <v/>
      </c>
      <c r="D470" s="275" t="s">
        <v>804</v>
      </c>
      <c r="E470" s="214" t="str">
        <f t="shared" si="49"/>
        <v>CA</v>
      </c>
      <c r="F470" s="242">
        <f t="shared" si="47"/>
        <v>5591</v>
      </c>
      <c r="G470" s="274">
        <v>500</v>
      </c>
      <c r="H470" s="241" t="str">
        <f t="shared" si="46"/>
        <v xml:space="preserve">Ciganic, Adrian </v>
      </c>
      <c r="I470" s="241" t="s">
        <v>849</v>
      </c>
    </row>
    <row r="471" spans="1:12" ht="12.95" customHeight="1" x14ac:dyDescent="0.2">
      <c r="A471" s="274">
        <v>5593</v>
      </c>
      <c r="B471" s="241" t="str">
        <f t="shared" si="48"/>
        <v>HS</v>
      </c>
      <c r="C471" s="243" t="str">
        <f t="shared" si="44"/>
        <v/>
      </c>
      <c r="D471" s="275" t="s">
        <v>383</v>
      </c>
      <c r="E471" s="214" t="str">
        <f t="shared" si="49"/>
        <v>HS</v>
      </c>
      <c r="F471" s="242">
        <f t="shared" si="47"/>
        <v>5593</v>
      </c>
      <c r="G471" s="274">
        <v>500</v>
      </c>
      <c r="H471" s="241" t="str">
        <f t="shared" si="46"/>
        <v xml:space="preserve">Hargreaves, Sheila </v>
      </c>
      <c r="I471" s="241" t="s">
        <v>849</v>
      </c>
    </row>
    <row r="472" spans="1:12" ht="12.95" customHeight="1" x14ac:dyDescent="0.2">
      <c r="A472" s="274">
        <v>5594</v>
      </c>
      <c r="B472" s="241" t="str">
        <f t="shared" si="48"/>
        <v>HD</v>
      </c>
      <c r="C472" s="243" t="str">
        <f t="shared" si="44"/>
        <v/>
      </c>
      <c r="D472" s="275" t="s">
        <v>676</v>
      </c>
      <c r="E472" s="214" t="str">
        <f t="shared" si="49"/>
        <v>HD</v>
      </c>
      <c r="F472" s="242">
        <f t="shared" si="47"/>
        <v>5594</v>
      </c>
      <c r="G472" s="274">
        <v>500</v>
      </c>
      <c r="H472" s="241" t="str">
        <f t="shared" si="46"/>
        <v xml:space="preserve">Halligan, Dale &amp; Liz </v>
      </c>
      <c r="I472" s="241" t="s">
        <v>849</v>
      </c>
    </row>
    <row r="473" spans="1:12" ht="12.95" customHeight="1" x14ac:dyDescent="0.2">
      <c r="A473" s="274">
        <v>5595</v>
      </c>
      <c r="B473" s="241" t="str">
        <f t="shared" si="48"/>
        <v>HS</v>
      </c>
      <c r="C473" s="243" t="str">
        <f t="shared" si="44"/>
        <v/>
      </c>
      <c r="D473" s="275" t="s">
        <v>223</v>
      </c>
      <c r="E473" s="214" t="str">
        <f t="shared" si="49"/>
        <v>HS</v>
      </c>
      <c r="F473" s="242">
        <f t="shared" si="47"/>
        <v>5595</v>
      </c>
      <c r="G473" s="274">
        <v>500</v>
      </c>
      <c r="H473" s="241" t="str">
        <f t="shared" si="46"/>
        <v xml:space="preserve">Halligan Special </v>
      </c>
      <c r="I473" s="241" t="s">
        <v>848</v>
      </c>
    </row>
    <row r="474" spans="1:12" ht="12.95" customHeight="1" x14ac:dyDescent="0.2">
      <c r="A474" s="274">
        <v>5596</v>
      </c>
      <c r="B474" s="241" t="str">
        <f t="shared" si="48"/>
        <v>ED</v>
      </c>
      <c r="C474" s="243" t="str">
        <f t="shared" si="44"/>
        <v/>
      </c>
      <c r="D474" s="275" t="s">
        <v>358</v>
      </c>
      <c r="E474" s="214" t="str">
        <f t="shared" si="49"/>
        <v>ED</v>
      </c>
      <c r="F474" s="242">
        <f t="shared" si="47"/>
        <v>5596</v>
      </c>
      <c r="G474" s="274">
        <v>500</v>
      </c>
      <c r="H474" s="241" t="str">
        <f t="shared" si="46"/>
        <v xml:space="preserve">Egan, Debbie &amp; Bob </v>
      </c>
      <c r="I474" s="241" t="s">
        <v>849</v>
      </c>
    </row>
    <row r="475" spans="1:12" ht="12.95" customHeight="1" x14ac:dyDescent="0.2">
      <c r="A475" s="274">
        <v>5597</v>
      </c>
      <c r="B475" s="241" t="str">
        <f t="shared" si="48"/>
        <v>BR</v>
      </c>
      <c r="C475" s="243" t="str">
        <f t="shared" si="44"/>
        <v/>
      </c>
      <c r="D475" s="275" t="s">
        <v>791</v>
      </c>
      <c r="E475" s="214" t="str">
        <f t="shared" si="49"/>
        <v>BR</v>
      </c>
      <c r="F475" s="242">
        <f t="shared" si="47"/>
        <v>5597</v>
      </c>
      <c r="G475" s="274">
        <v>500</v>
      </c>
      <c r="H475" s="241" t="str">
        <f t="shared" si="46"/>
        <v xml:space="preserve">Bevans, Rod &amp; Joyce </v>
      </c>
      <c r="I475" s="241" t="s">
        <v>849</v>
      </c>
    </row>
    <row r="476" spans="1:12" ht="12.95" customHeight="1" x14ac:dyDescent="0.2">
      <c r="A476" s="274">
        <v>5600</v>
      </c>
      <c r="B476" s="241" t="str">
        <f t="shared" si="48"/>
        <v>HR</v>
      </c>
      <c r="C476" s="243" t="str">
        <f t="shared" si="44"/>
        <v/>
      </c>
      <c r="D476" s="275" t="s">
        <v>805</v>
      </c>
      <c r="E476" s="214" t="str">
        <f t="shared" si="49"/>
        <v>HR</v>
      </c>
      <c r="F476" s="242">
        <f t="shared" si="47"/>
        <v>5600</v>
      </c>
      <c r="G476" s="274">
        <v>500</v>
      </c>
      <c r="H476" s="241" t="str">
        <f t="shared" si="46"/>
        <v xml:space="preserve">Huston, Richard </v>
      </c>
      <c r="I476" s="241" t="s">
        <v>849</v>
      </c>
    </row>
    <row r="477" spans="1:12" ht="12.95" customHeight="1" x14ac:dyDescent="0.2">
      <c r="A477" s="274">
        <v>5602</v>
      </c>
      <c r="B477" s="241" t="str">
        <f t="shared" si="48"/>
        <v>LR</v>
      </c>
      <c r="C477" s="243" t="str">
        <f t="shared" si="44"/>
        <v/>
      </c>
      <c r="D477" s="275" t="s">
        <v>806</v>
      </c>
      <c r="E477" s="214" t="str">
        <f t="shared" si="49"/>
        <v>LR</v>
      </c>
      <c r="F477" s="242">
        <f t="shared" si="47"/>
        <v>5602</v>
      </c>
      <c r="G477" s="274">
        <v>500</v>
      </c>
      <c r="H477" s="241" t="str">
        <f t="shared" si="46"/>
        <v xml:space="preserve">Lawton, Robert </v>
      </c>
      <c r="I477" s="241" t="s">
        <v>849</v>
      </c>
    </row>
    <row r="478" spans="1:12" ht="12.95" customHeight="1" x14ac:dyDescent="0.2">
      <c r="A478" s="274">
        <v>5606</v>
      </c>
      <c r="B478" s="241" t="str">
        <f t="shared" si="48"/>
        <v>RR</v>
      </c>
      <c r="C478" s="243" t="str">
        <f t="shared" si="44"/>
        <v/>
      </c>
      <c r="D478" s="275" t="s">
        <v>795</v>
      </c>
      <c r="E478" s="214" t="str">
        <f t="shared" si="49"/>
        <v>RR</v>
      </c>
      <c r="F478" s="242">
        <f t="shared" si="47"/>
        <v>5606</v>
      </c>
      <c r="G478" s="274">
        <v>500</v>
      </c>
      <c r="H478" s="241" t="str">
        <f t="shared" si="46"/>
        <v xml:space="preserve">Roelants, Renee </v>
      </c>
      <c r="I478" s="241" t="s">
        <v>849</v>
      </c>
    </row>
    <row r="479" spans="1:12" ht="12.95" customHeight="1" x14ac:dyDescent="0.2">
      <c r="A479" s="274">
        <v>5607</v>
      </c>
      <c r="B479" s="241" t="str">
        <f t="shared" si="48"/>
        <v>CN</v>
      </c>
      <c r="C479" s="243" t="str">
        <f t="shared" si="44"/>
        <v/>
      </c>
      <c r="D479" s="275" t="s">
        <v>332</v>
      </c>
      <c r="E479" s="214" t="str">
        <f t="shared" si="49"/>
        <v>CN</v>
      </c>
      <c r="F479" s="242">
        <f t="shared" si="47"/>
        <v>5607</v>
      </c>
      <c r="G479" s="274">
        <v>500</v>
      </c>
      <c r="H479" s="241" t="str">
        <f t="shared" si="46"/>
        <v xml:space="preserve">Colaco, Noel </v>
      </c>
      <c r="I479" s="241" t="s">
        <v>849</v>
      </c>
    </row>
    <row r="480" spans="1:12" ht="12.95" customHeight="1" x14ac:dyDescent="0.2">
      <c r="A480" s="274">
        <v>5608</v>
      </c>
      <c r="B480" s="241" t="str">
        <f t="shared" si="48"/>
        <v>HV</v>
      </c>
      <c r="C480" s="243" t="str">
        <f t="shared" si="44"/>
        <v/>
      </c>
      <c r="D480" s="275" t="s">
        <v>796</v>
      </c>
      <c r="E480" s="214" t="str">
        <f t="shared" si="49"/>
        <v>HV</v>
      </c>
      <c r="F480" s="242">
        <f t="shared" si="47"/>
        <v>5608</v>
      </c>
      <c r="G480" s="274">
        <v>500</v>
      </c>
      <c r="H480" s="241" t="str">
        <f t="shared" si="46"/>
        <v xml:space="preserve">Hopkins, Virginia </v>
      </c>
      <c r="I480" s="241" t="s">
        <v>849</v>
      </c>
    </row>
    <row r="481" spans="1:9" ht="12.95" customHeight="1" x14ac:dyDescent="0.2">
      <c r="A481" s="274">
        <v>5609</v>
      </c>
      <c r="B481" s="241" t="str">
        <f t="shared" si="48"/>
        <v>SD</v>
      </c>
      <c r="C481" s="243" t="str">
        <f t="shared" si="44"/>
        <v/>
      </c>
      <c r="D481" s="275" t="s">
        <v>481</v>
      </c>
      <c r="E481" s="214" t="str">
        <f t="shared" si="49"/>
        <v>SD</v>
      </c>
      <c r="F481" s="242">
        <f t="shared" si="47"/>
        <v>5609</v>
      </c>
      <c r="G481" s="274">
        <v>500</v>
      </c>
      <c r="H481" s="241" t="str">
        <f t="shared" si="46"/>
        <v xml:space="preserve">Smith, Dan </v>
      </c>
      <c r="I481" s="241" t="s">
        <v>849</v>
      </c>
    </row>
    <row r="482" spans="1:9" ht="12.95" customHeight="1" x14ac:dyDescent="0.2">
      <c r="A482" s="274">
        <v>5610</v>
      </c>
      <c r="B482" s="241" t="str">
        <f t="shared" si="48"/>
        <v>SE</v>
      </c>
      <c r="C482" s="243" t="str">
        <f t="shared" si="44"/>
        <v/>
      </c>
      <c r="D482" s="275" t="s">
        <v>818</v>
      </c>
      <c r="E482" s="214" t="str">
        <f t="shared" si="49"/>
        <v>SE</v>
      </c>
      <c r="F482" s="242">
        <f t="shared" si="47"/>
        <v>5610</v>
      </c>
      <c r="G482" s="274">
        <v>500</v>
      </c>
      <c r="H482" s="241" t="str">
        <f t="shared" si="46"/>
        <v xml:space="preserve">Seever, Eric </v>
      </c>
      <c r="I482" s="241" t="s">
        <v>849</v>
      </c>
    </row>
    <row r="483" spans="1:9" ht="12.95" customHeight="1" x14ac:dyDescent="0.2">
      <c r="A483" s="274">
        <v>5612</v>
      </c>
      <c r="B483" s="241" t="str">
        <f t="shared" si="48"/>
        <v>TJ</v>
      </c>
      <c r="C483" s="243" t="str">
        <f t="shared" si="44"/>
        <v/>
      </c>
      <c r="D483" s="275" t="s">
        <v>798</v>
      </c>
      <c r="E483" s="214" t="str">
        <f t="shared" si="49"/>
        <v>TJ</v>
      </c>
      <c r="F483" s="242">
        <f t="shared" si="47"/>
        <v>5612</v>
      </c>
      <c r="G483" s="274">
        <v>500</v>
      </c>
      <c r="H483" s="241" t="str">
        <f t="shared" si="46"/>
        <v xml:space="preserve">Townsend, Jeffrey </v>
      </c>
      <c r="I483" s="241" t="s">
        <v>849</v>
      </c>
    </row>
    <row r="484" spans="1:9" ht="12.95" customHeight="1" x14ac:dyDescent="0.2">
      <c r="A484" s="274">
        <v>5613</v>
      </c>
      <c r="B484" s="241" t="s">
        <v>844</v>
      </c>
      <c r="C484" s="243" t="str">
        <f t="shared" ref="C484:C558" si="50">IFERROR(MID(D484,SEARCH("{",D484,1)+1,SEARCH("}",D484,1)-SEARCH("{",D484,1)-1),"")</f>
        <v/>
      </c>
      <c r="D484" s="275" t="s">
        <v>403</v>
      </c>
      <c r="E484" s="214" t="s">
        <v>789</v>
      </c>
      <c r="F484" s="242">
        <v>5584</v>
      </c>
      <c r="G484" s="274">
        <v>500</v>
      </c>
      <c r="H484" s="241" t="str">
        <f t="shared" si="46"/>
        <v xml:space="preserve">Kendagor, Solomon &amp; Ruby </v>
      </c>
      <c r="I484" s="241" t="s">
        <v>849</v>
      </c>
    </row>
    <row r="485" spans="1:9" ht="12.95" customHeight="1" x14ac:dyDescent="0.2">
      <c r="A485" s="274">
        <v>5614</v>
      </c>
      <c r="B485" s="241" t="str">
        <f>E485</f>
        <v>KS</v>
      </c>
      <c r="C485" s="243" t="str">
        <f t="shared" si="50"/>
        <v/>
      </c>
      <c r="D485" s="275" t="s">
        <v>402</v>
      </c>
      <c r="E485" s="214" t="str">
        <f>LEFT(D485,1)&amp;MID(D485,SEARCH(" ",D485,1)+1,1)</f>
        <v>KS</v>
      </c>
      <c r="F485" s="242">
        <f>A485</f>
        <v>5614</v>
      </c>
      <c r="G485" s="274">
        <v>500</v>
      </c>
      <c r="H485" s="241" t="str">
        <f t="shared" si="46"/>
        <v xml:space="preserve">Kendagor Special </v>
      </c>
      <c r="I485" s="241" t="s">
        <v>848</v>
      </c>
    </row>
    <row r="486" spans="1:9" ht="12.95" customHeight="1" x14ac:dyDescent="0.2">
      <c r="A486" s="274">
        <v>5616</v>
      </c>
      <c r="B486" s="241" t="str">
        <f>E486</f>
        <v>BL</v>
      </c>
      <c r="C486" s="243" t="str">
        <f t="shared" si="50"/>
        <v/>
      </c>
      <c r="D486" s="275" t="s">
        <v>807</v>
      </c>
      <c r="E486" s="214" t="str">
        <f>LEFT(D486,1)&amp;MID(D486,SEARCH(" ",D486,1)+1,1)</f>
        <v>BL</v>
      </c>
      <c r="F486" s="242">
        <f>A486</f>
        <v>5616</v>
      </c>
      <c r="G486" s="274">
        <v>500</v>
      </c>
      <c r="H486" s="241" t="str">
        <f t="shared" si="46"/>
        <v xml:space="preserve">Boyd, Lisa </v>
      </c>
      <c r="I486" s="241" t="s">
        <v>849</v>
      </c>
    </row>
    <row r="487" spans="1:9" ht="12.95" customHeight="1" x14ac:dyDescent="0.2">
      <c r="A487" s="274">
        <v>5617</v>
      </c>
      <c r="B487" s="241"/>
      <c r="C487" s="243" t="str">
        <f t="shared" si="50"/>
        <v/>
      </c>
      <c r="D487" s="275" t="s">
        <v>808</v>
      </c>
      <c r="E487" s="214" t="s">
        <v>788</v>
      </c>
      <c r="F487" s="242">
        <v>5617</v>
      </c>
      <c r="G487" s="274">
        <v>500</v>
      </c>
      <c r="H487" s="241" t="str">
        <f t="shared" si="46"/>
        <v xml:space="preserve">Yesudasan, Teddy </v>
      </c>
      <c r="I487" s="241" t="s">
        <v>849</v>
      </c>
    </row>
    <row r="488" spans="1:9" ht="12.95" customHeight="1" x14ac:dyDescent="0.2">
      <c r="A488" s="274">
        <v>5619</v>
      </c>
      <c r="B488" s="241" t="str">
        <f t="shared" ref="B488:B561" si="51">E488</f>
        <v>BH</v>
      </c>
      <c r="C488" s="243" t="str">
        <f t="shared" si="50"/>
        <v/>
      </c>
      <c r="D488" s="275" t="s">
        <v>797</v>
      </c>
      <c r="E488" s="214" t="str">
        <f t="shared" ref="E488:E561" si="52">LEFT(D488,1)&amp;MID(D488,SEARCH(" ",D488,1)+1,1)</f>
        <v>BH</v>
      </c>
      <c r="F488" s="242">
        <f>A488</f>
        <v>5619</v>
      </c>
      <c r="G488" s="274">
        <v>500</v>
      </c>
      <c r="H488" s="241" t="str">
        <f t="shared" si="46"/>
        <v xml:space="preserve">Black, Helen </v>
      </c>
      <c r="I488" s="241" t="s">
        <v>849</v>
      </c>
    </row>
    <row r="489" spans="1:9" ht="12.95" customHeight="1" x14ac:dyDescent="0.2">
      <c r="A489" s="274">
        <v>5620</v>
      </c>
      <c r="B489" s="241" t="str">
        <f t="shared" si="51"/>
        <v>WK</v>
      </c>
      <c r="C489" s="243" t="str">
        <f t="shared" si="50"/>
        <v/>
      </c>
      <c r="D489" s="275" t="s">
        <v>1093</v>
      </c>
      <c r="E489" s="214" t="str">
        <f t="shared" si="52"/>
        <v>WK</v>
      </c>
      <c r="F489" s="242">
        <v>5620</v>
      </c>
      <c r="G489" s="274">
        <v>500</v>
      </c>
      <c r="H489" s="241" t="str">
        <f t="shared" si="46"/>
        <v xml:space="preserve">Willis, Kristy </v>
      </c>
      <c r="I489" s="241" t="s">
        <v>849</v>
      </c>
    </row>
    <row r="490" spans="1:9" ht="12.95" customHeight="1" x14ac:dyDescent="0.2">
      <c r="A490" s="274">
        <v>5621</v>
      </c>
      <c r="B490" s="241" t="str">
        <f t="shared" si="51"/>
        <v>MV</v>
      </c>
      <c r="C490" s="243" t="str">
        <f t="shared" si="50"/>
        <v/>
      </c>
      <c r="D490" s="275" t="s">
        <v>432</v>
      </c>
      <c r="E490" s="214" t="str">
        <f t="shared" si="52"/>
        <v>MV</v>
      </c>
      <c r="F490" s="242">
        <f>A490</f>
        <v>5621</v>
      </c>
      <c r="G490" s="274">
        <v>500</v>
      </c>
      <c r="H490" s="241" t="str">
        <f t="shared" si="46"/>
        <v xml:space="preserve">Max, Vivienne </v>
      </c>
      <c r="I490" s="241" t="s">
        <v>849</v>
      </c>
    </row>
    <row r="491" spans="1:9" ht="12.95" customHeight="1" x14ac:dyDescent="0.2">
      <c r="A491" s="274">
        <v>5622</v>
      </c>
      <c r="B491" s="241" t="str">
        <f t="shared" si="51"/>
        <v>PH</v>
      </c>
      <c r="C491" s="243" t="str">
        <f t="shared" si="50"/>
        <v/>
      </c>
      <c r="D491" s="275" t="s">
        <v>809</v>
      </c>
      <c r="E491" s="214" t="str">
        <f t="shared" si="52"/>
        <v>PH</v>
      </c>
      <c r="F491" s="242">
        <f>A491</f>
        <v>5622</v>
      </c>
      <c r="G491" s="274">
        <v>500</v>
      </c>
      <c r="H491" s="241" t="str">
        <f t="shared" si="46"/>
        <v xml:space="preserve">Pierce, Holly and Travis </v>
      </c>
      <c r="I491" s="241" t="s">
        <v>849</v>
      </c>
    </row>
    <row r="492" spans="1:9" ht="12.95" customHeight="1" x14ac:dyDescent="0.2">
      <c r="A492" s="274">
        <v>5623</v>
      </c>
      <c r="B492" s="241" t="str">
        <f t="shared" si="51"/>
        <v>AR</v>
      </c>
      <c r="C492" s="243" t="str">
        <f t="shared" si="50"/>
        <v/>
      </c>
      <c r="D492" s="275" t="s">
        <v>825</v>
      </c>
      <c r="E492" s="214" t="str">
        <f t="shared" si="52"/>
        <v>AR</v>
      </c>
      <c r="F492" s="242">
        <v>5623</v>
      </c>
      <c r="G492" s="274">
        <v>500</v>
      </c>
      <c r="H492" s="241" t="str">
        <f t="shared" si="46"/>
        <v xml:space="preserve">Auvil, Ron </v>
      </c>
      <c r="I492" s="241" t="s">
        <v>849</v>
      </c>
    </row>
    <row r="493" spans="1:9" ht="12.95" customHeight="1" x14ac:dyDescent="0.2">
      <c r="A493" s="274">
        <v>5624</v>
      </c>
      <c r="B493" s="241" t="str">
        <f t="shared" si="51"/>
        <v>MM</v>
      </c>
      <c r="C493" s="243" t="str">
        <f t="shared" si="50"/>
        <v/>
      </c>
      <c r="D493" s="275" t="s">
        <v>436</v>
      </c>
      <c r="E493" s="214" t="str">
        <f t="shared" si="52"/>
        <v>MM</v>
      </c>
      <c r="F493" s="242">
        <f>A493</f>
        <v>5624</v>
      </c>
      <c r="G493" s="274">
        <v>500</v>
      </c>
      <c r="H493" s="241" t="str">
        <f t="shared" si="46"/>
        <v xml:space="preserve">Means, Melba </v>
      </c>
      <c r="I493" s="241" t="s">
        <v>849</v>
      </c>
    </row>
    <row r="494" spans="1:9" ht="12.95" customHeight="1" x14ac:dyDescent="0.2">
      <c r="A494" s="274">
        <v>5625</v>
      </c>
      <c r="B494" s="241" t="str">
        <f t="shared" si="51"/>
        <v>BM</v>
      </c>
      <c r="C494" s="243" t="str">
        <f t="shared" si="50"/>
        <v/>
      </c>
      <c r="D494" s="275" t="s">
        <v>838</v>
      </c>
      <c r="E494" s="214" t="str">
        <f t="shared" si="52"/>
        <v>BM</v>
      </c>
      <c r="F494" s="242">
        <v>5625</v>
      </c>
      <c r="G494" s="274">
        <v>500</v>
      </c>
      <c r="H494" s="241" t="str">
        <f t="shared" si="46"/>
        <v xml:space="preserve">Bogen, Mark </v>
      </c>
      <c r="I494" s="241" t="s">
        <v>849</v>
      </c>
    </row>
    <row r="495" spans="1:9" ht="12.95" customHeight="1" x14ac:dyDescent="0.2">
      <c r="A495" s="274">
        <v>5627</v>
      </c>
      <c r="B495" s="241" t="str">
        <f t="shared" si="51"/>
        <v>HE</v>
      </c>
      <c r="C495" s="243" t="str">
        <f t="shared" si="50"/>
        <v/>
      </c>
      <c r="D495" s="275" t="s">
        <v>817</v>
      </c>
      <c r="E495" s="214" t="str">
        <f t="shared" si="52"/>
        <v>HE</v>
      </c>
      <c r="F495" s="242">
        <f t="shared" ref="F495:F542" si="53">A495</f>
        <v>5627</v>
      </c>
      <c r="G495" s="274">
        <v>500</v>
      </c>
      <c r="H495" s="241" t="str">
        <f t="shared" si="46"/>
        <v xml:space="preserve">Huang, Echo </v>
      </c>
      <c r="I495" s="241" t="s">
        <v>849</v>
      </c>
    </row>
    <row r="496" spans="1:9" ht="12.95" customHeight="1" x14ac:dyDescent="0.2">
      <c r="A496" s="274">
        <v>5628</v>
      </c>
      <c r="B496" s="241" t="str">
        <f t="shared" si="51"/>
        <v>CJ</v>
      </c>
      <c r="C496" s="243" t="str">
        <f t="shared" si="50"/>
        <v/>
      </c>
      <c r="D496" s="275" t="s">
        <v>828</v>
      </c>
      <c r="E496" s="214" t="str">
        <f t="shared" si="52"/>
        <v>CJ</v>
      </c>
      <c r="F496" s="242">
        <f t="shared" si="53"/>
        <v>5628</v>
      </c>
      <c r="G496" s="274">
        <v>500</v>
      </c>
      <c r="H496" s="241" t="str">
        <f t="shared" si="46"/>
        <v xml:space="preserve">Cote, Jennifer </v>
      </c>
      <c r="I496" s="241" t="s">
        <v>849</v>
      </c>
    </row>
    <row r="497" spans="1:9" ht="12.95" customHeight="1" x14ac:dyDescent="0.2">
      <c r="A497" s="274">
        <v>5631</v>
      </c>
      <c r="B497" s="241" t="str">
        <f t="shared" si="51"/>
        <v>LC</v>
      </c>
      <c r="C497" s="243" t="str">
        <f t="shared" si="50"/>
        <v/>
      </c>
      <c r="D497" s="275" t="s">
        <v>421</v>
      </c>
      <c r="E497" s="214" t="str">
        <f t="shared" si="52"/>
        <v>LC</v>
      </c>
      <c r="F497" s="242">
        <f t="shared" si="53"/>
        <v>5631</v>
      </c>
      <c r="G497" s="274">
        <v>500</v>
      </c>
      <c r="H497" s="241" t="str">
        <f t="shared" si="46"/>
        <v xml:space="preserve">Lindman, Carroll </v>
      </c>
      <c r="I497" s="241" t="s">
        <v>849</v>
      </c>
    </row>
    <row r="498" spans="1:9" ht="12.95" customHeight="1" x14ac:dyDescent="0.2">
      <c r="A498" s="274">
        <v>5632</v>
      </c>
      <c r="B498" s="241" t="str">
        <f t="shared" si="51"/>
        <v>FJ</v>
      </c>
      <c r="C498" s="243" t="str">
        <f t="shared" si="50"/>
        <v/>
      </c>
      <c r="D498" s="275" t="s">
        <v>833</v>
      </c>
      <c r="E498" s="214" t="str">
        <f t="shared" si="52"/>
        <v>FJ</v>
      </c>
      <c r="F498" s="242">
        <f t="shared" si="53"/>
        <v>5632</v>
      </c>
      <c r="G498" s="274">
        <v>500</v>
      </c>
      <c r="H498" s="241" t="str">
        <f t="shared" si="46"/>
        <v xml:space="preserve">Farley, Jennifer </v>
      </c>
      <c r="I498" s="241" t="s">
        <v>849</v>
      </c>
    </row>
    <row r="499" spans="1:9" ht="12.95" customHeight="1" x14ac:dyDescent="0.2">
      <c r="A499" s="274">
        <v>5634</v>
      </c>
      <c r="B499" s="241" t="str">
        <f t="shared" si="51"/>
        <v>FA</v>
      </c>
      <c r="C499" s="243" t="str">
        <f t="shared" si="50"/>
        <v/>
      </c>
      <c r="D499" s="275" t="s">
        <v>830</v>
      </c>
      <c r="E499" s="214" t="str">
        <f t="shared" si="52"/>
        <v>FA</v>
      </c>
      <c r="F499" s="242">
        <f t="shared" si="53"/>
        <v>5634</v>
      </c>
      <c r="G499" s="274">
        <v>500</v>
      </c>
      <c r="H499" s="241" t="str">
        <f t="shared" ref="H499:H562" si="54">LEFT(D499,SEARCH("(",D499,1)-1)</f>
        <v xml:space="preserve">Farmer, Aaron &amp; Lydia </v>
      </c>
      <c r="I499" s="241" t="s">
        <v>849</v>
      </c>
    </row>
    <row r="500" spans="1:9" ht="12.95" customHeight="1" x14ac:dyDescent="0.2">
      <c r="A500" s="274">
        <v>5636</v>
      </c>
      <c r="B500" s="241" t="str">
        <f t="shared" si="51"/>
        <v>MS</v>
      </c>
      <c r="C500" s="243" t="str">
        <f t="shared" si="50"/>
        <v/>
      </c>
      <c r="D500" s="275" t="s">
        <v>835</v>
      </c>
      <c r="E500" s="214" t="str">
        <f t="shared" si="52"/>
        <v>MS</v>
      </c>
      <c r="F500" s="242">
        <f t="shared" si="53"/>
        <v>5636</v>
      </c>
      <c r="G500" s="274">
        <v>500</v>
      </c>
      <c r="H500" s="241" t="str">
        <f t="shared" si="54"/>
        <v xml:space="preserve">Matheny, Scott &amp; Kathy </v>
      </c>
      <c r="I500" s="241" t="s">
        <v>849</v>
      </c>
    </row>
    <row r="501" spans="1:9" ht="12.95" customHeight="1" x14ac:dyDescent="0.2">
      <c r="A501" s="274">
        <v>5638</v>
      </c>
      <c r="B501" s="241" t="str">
        <f t="shared" si="51"/>
        <v>MJ</v>
      </c>
      <c r="C501" s="243" t="str">
        <f t="shared" si="50"/>
        <v/>
      </c>
      <c r="D501" s="275" t="s">
        <v>837</v>
      </c>
      <c r="E501" s="214" t="str">
        <f t="shared" si="52"/>
        <v>MJ</v>
      </c>
      <c r="F501" s="242">
        <f t="shared" si="53"/>
        <v>5638</v>
      </c>
      <c r="G501" s="274">
        <v>500</v>
      </c>
      <c r="H501" s="241" t="str">
        <f t="shared" si="54"/>
        <v xml:space="preserve">Mills, Jessica </v>
      </c>
      <c r="I501" s="241" t="s">
        <v>849</v>
      </c>
    </row>
    <row r="502" spans="1:9" ht="12.95" customHeight="1" x14ac:dyDescent="0.2">
      <c r="A502" s="274">
        <v>5640</v>
      </c>
      <c r="B502" s="241" t="str">
        <f t="shared" si="51"/>
        <v>VM</v>
      </c>
      <c r="C502" s="243" t="str">
        <f t="shared" si="50"/>
        <v/>
      </c>
      <c r="D502" s="275" t="s">
        <v>831</v>
      </c>
      <c r="E502" s="214" t="str">
        <f t="shared" si="52"/>
        <v>VM</v>
      </c>
      <c r="F502" s="242">
        <f t="shared" si="53"/>
        <v>5640</v>
      </c>
      <c r="G502" s="274">
        <v>500</v>
      </c>
      <c r="H502" s="241" t="str">
        <f t="shared" si="54"/>
        <v xml:space="preserve">Vest, Mary Ann </v>
      </c>
      <c r="I502" s="241" t="s">
        <v>849</v>
      </c>
    </row>
    <row r="503" spans="1:9" ht="12.95" customHeight="1" x14ac:dyDescent="0.2">
      <c r="A503" s="274">
        <v>5641</v>
      </c>
      <c r="B503" s="241" t="str">
        <f t="shared" si="51"/>
        <v>CF</v>
      </c>
      <c r="C503" s="243" t="str">
        <f t="shared" si="50"/>
        <v/>
      </c>
      <c r="D503" s="275" t="s">
        <v>836</v>
      </c>
      <c r="E503" s="214" t="str">
        <f t="shared" si="52"/>
        <v>CF</v>
      </c>
      <c r="F503" s="242">
        <f t="shared" si="53"/>
        <v>5641</v>
      </c>
      <c r="G503" s="274">
        <v>500</v>
      </c>
      <c r="H503" s="241" t="str">
        <f t="shared" si="54"/>
        <v xml:space="preserve">Coleman, Fred &amp; Pixie </v>
      </c>
      <c r="I503" s="241" t="s">
        <v>849</v>
      </c>
    </row>
    <row r="504" spans="1:9" ht="12.95" customHeight="1" x14ac:dyDescent="0.2">
      <c r="A504" s="274">
        <v>5643</v>
      </c>
      <c r="B504" s="241" t="str">
        <f t="shared" si="51"/>
        <v>MS</v>
      </c>
      <c r="C504" s="243" t="str">
        <f t="shared" si="50"/>
        <v/>
      </c>
      <c r="D504" s="275" t="s">
        <v>840</v>
      </c>
      <c r="E504" s="214" t="str">
        <f t="shared" si="52"/>
        <v>MS</v>
      </c>
      <c r="F504" s="242">
        <f t="shared" si="53"/>
        <v>5643</v>
      </c>
      <c r="G504" s="274">
        <v>500</v>
      </c>
      <c r="H504" s="241" t="str">
        <f t="shared" si="54"/>
        <v xml:space="preserve">Makin, Steve &amp; Cathy </v>
      </c>
      <c r="I504" s="241" t="s">
        <v>849</v>
      </c>
    </row>
    <row r="505" spans="1:9" ht="12.95" customHeight="1" x14ac:dyDescent="0.2">
      <c r="A505" s="274">
        <v>5644</v>
      </c>
      <c r="B505" s="241" t="str">
        <f t="shared" si="51"/>
        <v>TC</v>
      </c>
      <c r="C505" s="243" t="str">
        <f t="shared" si="50"/>
        <v>Hutton</v>
      </c>
      <c r="D505" s="275" t="s">
        <v>969</v>
      </c>
      <c r="E505" s="214" t="str">
        <f t="shared" si="52"/>
        <v>TC</v>
      </c>
      <c r="F505" s="242">
        <f t="shared" si="53"/>
        <v>5644</v>
      </c>
      <c r="G505" s="274">
        <v>500</v>
      </c>
      <c r="H505" s="241" t="str">
        <f t="shared" si="54"/>
        <v xml:space="preserve">Twin Cities Scholarships </v>
      </c>
      <c r="I505" s="241" t="s">
        <v>847</v>
      </c>
    </row>
    <row r="506" spans="1:9" ht="12.95" customHeight="1" x14ac:dyDescent="0.2">
      <c r="A506" s="274">
        <v>5647</v>
      </c>
      <c r="B506" s="241" t="str">
        <f t="shared" si="51"/>
        <v>DC</v>
      </c>
      <c r="C506" s="243" t="str">
        <f t="shared" si="50"/>
        <v/>
      </c>
      <c r="D506" s="275" t="s">
        <v>352</v>
      </c>
      <c r="E506" s="214" t="str">
        <f t="shared" si="52"/>
        <v>DC</v>
      </c>
      <c r="F506" s="242">
        <f t="shared" si="53"/>
        <v>5647</v>
      </c>
      <c r="G506" s="274">
        <v>500</v>
      </c>
      <c r="H506" s="241" t="str">
        <f t="shared" si="54"/>
        <v xml:space="preserve">Douglass, Carol </v>
      </c>
      <c r="I506" s="241" t="s">
        <v>849</v>
      </c>
    </row>
    <row r="507" spans="1:9" ht="12.95" customHeight="1" x14ac:dyDescent="0.2">
      <c r="A507" s="274">
        <v>5648</v>
      </c>
      <c r="B507" s="241" t="str">
        <f t="shared" si="51"/>
        <v>DS</v>
      </c>
      <c r="C507" s="243" t="str">
        <f t="shared" si="50"/>
        <v/>
      </c>
      <c r="D507" s="275" t="s">
        <v>213</v>
      </c>
      <c r="E507" s="214" t="str">
        <f t="shared" si="52"/>
        <v>DS</v>
      </c>
      <c r="F507" s="242">
        <f t="shared" si="53"/>
        <v>5648</v>
      </c>
      <c r="G507" s="274">
        <v>500</v>
      </c>
      <c r="H507" s="241" t="str">
        <f t="shared" si="54"/>
        <v xml:space="preserve">Douglass Special </v>
      </c>
      <c r="I507" s="241" t="s">
        <v>848</v>
      </c>
    </row>
    <row r="508" spans="1:9" ht="12.95" customHeight="1" x14ac:dyDescent="0.2">
      <c r="A508" s="274">
        <v>5649</v>
      </c>
      <c r="B508" s="241" t="str">
        <f t="shared" si="51"/>
        <v>LJ</v>
      </c>
      <c r="C508" s="243" t="str">
        <f t="shared" si="50"/>
        <v/>
      </c>
      <c r="D508" s="275" t="s">
        <v>841</v>
      </c>
      <c r="E508" s="214" t="str">
        <f t="shared" si="52"/>
        <v>LJ</v>
      </c>
      <c r="F508" s="242">
        <f t="shared" si="53"/>
        <v>5649</v>
      </c>
      <c r="G508" s="274">
        <v>500</v>
      </c>
      <c r="H508" s="241" t="str">
        <f t="shared" si="54"/>
        <v xml:space="preserve">Lassiter, Jordan &amp; Rebekah </v>
      </c>
      <c r="I508" s="241" t="s">
        <v>849</v>
      </c>
    </row>
    <row r="509" spans="1:9" ht="12.95" customHeight="1" x14ac:dyDescent="0.2">
      <c r="A509" s="274">
        <v>5651</v>
      </c>
      <c r="B509" s="241" t="str">
        <f t="shared" si="51"/>
        <v>PM</v>
      </c>
      <c r="C509" s="243" t="str">
        <f t="shared" si="50"/>
        <v/>
      </c>
      <c r="D509" s="275" t="s">
        <v>452</v>
      </c>
      <c r="E509" s="214" t="str">
        <f t="shared" si="52"/>
        <v>PM</v>
      </c>
      <c r="F509" s="242">
        <f t="shared" si="53"/>
        <v>5651</v>
      </c>
      <c r="G509" s="274">
        <v>500</v>
      </c>
      <c r="H509" s="241" t="str">
        <f t="shared" si="54"/>
        <v xml:space="preserve">Paxton, Marion </v>
      </c>
      <c r="I509" s="241" t="s">
        <v>849</v>
      </c>
    </row>
    <row r="510" spans="1:9" ht="12.95" customHeight="1" x14ac:dyDescent="0.2">
      <c r="A510" s="274">
        <v>5652</v>
      </c>
      <c r="B510" s="241" t="str">
        <f t="shared" si="51"/>
        <v>TG</v>
      </c>
      <c r="C510" s="243" t="str">
        <f t="shared" si="50"/>
        <v/>
      </c>
      <c r="D510" s="275" t="s">
        <v>845</v>
      </c>
      <c r="E510" s="214" t="str">
        <f t="shared" si="52"/>
        <v>TG</v>
      </c>
      <c r="F510" s="242">
        <f t="shared" si="53"/>
        <v>5652</v>
      </c>
      <c r="G510" s="274">
        <v>500</v>
      </c>
      <c r="H510" s="241" t="str">
        <f t="shared" si="54"/>
        <v xml:space="preserve">Tippery, Gabriel </v>
      </c>
      <c r="I510" s="241" t="s">
        <v>849</v>
      </c>
    </row>
    <row r="511" spans="1:9" ht="12.95" customHeight="1" x14ac:dyDescent="0.2">
      <c r="A511" s="274">
        <v>5653</v>
      </c>
      <c r="B511" s="241" t="str">
        <f t="shared" si="51"/>
        <v>MS</v>
      </c>
      <c r="C511" s="243" t="str">
        <f t="shared" si="50"/>
        <v/>
      </c>
      <c r="D511" s="275" t="s">
        <v>826</v>
      </c>
      <c r="E511" s="214" t="str">
        <f t="shared" si="52"/>
        <v>MS</v>
      </c>
      <c r="F511" s="242">
        <f t="shared" si="53"/>
        <v>5653</v>
      </c>
      <c r="G511" s="274">
        <v>500</v>
      </c>
      <c r="H511" s="241" t="str">
        <f t="shared" si="54"/>
        <v xml:space="preserve">Mannon Special </v>
      </c>
      <c r="I511" s="241" t="s">
        <v>848</v>
      </c>
    </row>
    <row r="512" spans="1:9" ht="12.95" customHeight="1" x14ac:dyDescent="0.2">
      <c r="A512" s="274">
        <v>5654</v>
      </c>
      <c r="B512" s="241" t="str">
        <f t="shared" si="51"/>
        <v>TS</v>
      </c>
      <c r="C512" s="243" t="str">
        <f t="shared" si="50"/>
        <v/>
      </c>
      <c r="D512" s="275" t="s">
        <v>268</v>
      </c>
      <c r="E512" s="214" t="str">
        <f t="shared" si="52"/>
        <v>TS</v>
      </c>
      <c r="F512" s="242">
        <f t="shared" si="53"/>
        <v>5654</v>
      </c>
      <c r="G512" s="274">
        <v>500</v>
      </c>
      <c r="H512" s="241" t="str">
        <f t="shared" si="54"/>
        <v xml:space="preserve">Thiagarajan, S &amp; R </v>
      </c>
      <c r="I512" s="241" t="s">
        <v>849</v>
      </c>
    </row>
    <row r="513" spans="1:9" ht="12.95" customHeight="1" x14ac:dyDescent="0.2">
      <c r="A513" s="274">
        <v>5656</v>
      </c>
      <c r="B513" s="241" t="str">
        <f t="shared" si="51"/>
        <v>HK</v>
      </c>
      <c r="C513" s="243" t="str">
        <f t="shared" si="50"/>
        <v/>
      </c>
      <c r="D513" s="275" t="s">
        <v>885</v>
      </c>
      <c r="E513" s="214" t="str">
        <f t="shared" si="52"/>
        <v>HK</v>
      </c>
      <c r="F513" s="242">
        <f t="shared" si="53"/>
        <v>5656</v>
      </c>
      <c r="G513" s="274">
        <v>500</v>
      </c>
      <c r="H513" s="241" t="str">
        <f t="shared" si="54"/>
        <v xml:space="preserve">Haislip, Kevin </v>
      </c>
      <c r="I513" s="241" t="s">
        <v>849</v>
      </c>
    </row>
    <row r="514" spans="1:9" ht="12.95" customHeight="1" x14ac:dyDescent="0.2">
      <c r="A514" s="274">
        <v>5657</v>
      </c>
      <c r="B514" s="241" t="str">
        <f t="shared" si="51"/>
        <v>TS</v>
      </c>
      <c r="C514" s="243" t="str">
        <f t="shared" si="50"/>
        <v/>
      </c>
      <c r="D514" s="275" t="s">
        <v>484</v>
      </c>
      <c r="E514" s="214" t="str">
        <f t="shared" si="52"/>
        <v>TS</v>
      </c>
      <c r="F514" s="242">
        <f t="shared" si="53"/>
        <v>5657</v>
      </c>
      <c r="G514" s="274">
        <v>500</v>
      </c>
      <c r="H514" s="241" t="str">
        <f t="shared" si="54"/>
        <v xml:space="preserve">Thiagarajan Special </v>
      </c>
      <c r="I514" s="241" t="s">
        <v>848</v>
      </c>
    </row>
    <row r="515" spans="1:9" ht="12.95" customHeight="1" x14ac:dyDescent="0.2">
      <c r="A515" s="274">
        <v>5658</v>
      </c>
      <c r="B515" s="241" t="str">
        <f t="shared" si="51"/>
        <v>KJ</v>
      </c>
      <c r="C515" s="243" t="str">
        <f t="shared" si="50"/>
        <v/>
      </c>
      <c r="D515" s="275" t="s">
        <v>407</v>
      </c>
      <c r="E515" s="214" t="str">
        <f t="shared" si="52"/>
        <v>KJ</v>
      </c>
      <c r="F515" s="242">
        <f t="shared" si="53"/>
        <v>5658</v>
      </c>
      <c r="G515" s="274">
        <v>500</v>
      </c>
      <c r="H515" s="241" t="str">
        <f t="shared" si="54"/>
        <v xml:space="preserve">Kolstad, Jan &amp; David </v>
      </c>
      <c r="I515" s="241" t="s">
        <v>849</v>
      </c>
    </row>
    <row r="516" spans="1:9" ht="12.95" customHeight="1" x14ac:dyDescent="0.2">
      <c r="A516" s="274">
        <v>5659</v>
      </c>
      <c r="B516" s="241" t="str">
        <f t="shared" si="51"/>
        <v>GJ</v>
      </c>
      <c r="C516" s="243" t="str">
        <f t="shared" si="50"/>
        <v/>
      </c>
      <c r="D516" s="275" t="s">
        <v>1639</v>
      </c>
      <c r="E516" s="214" t="str">
        <f t="shared" si="52"/>
        <v>GJ</v>
      </c>
      <c r="F516" s="242">
        <f t="shared" si="53"/>
        <v>5659</v>
      </c>
      <c r="G516" s="274">
        <v>500</v>
      </c>
      <c r="H516" s="241" t="str">
        <f t="shared" si="54"/>
        <v xml:space="preserve">Guzman, JaNae </v>
      </c>
      <c r="I516" s="241" t="s">
        <v>849</v>
      </c>
    </row>
    <row r="517" spans="1:9" ht="12.95" customHeight="1" x14ac:dyDescent="0.2">
      <c r="A517" s="274">
        <v>5660</v>
      </c>
      <c r="B517" s="241" t="str">
        <f t="shared" si="51"/>
        <v>BH</v>
      </c>
      <c r="C517" s="243" t="str">
        <f t="shared" si="50"/>
        <v/>
      </c>
      <c r="D517" s="275" t="s">
        <v>310</v>
      </c>
      <c r="E517" s="214" t="str">
        <f t="shared" si="52"/>
        <v>BH</v>
      </c>
      <c r="F517" s="242">
        <f t="shared" si="53"/>
        <v>5660</v>
      </c>
      <c r="G517" s="274">
        <v>500</v>
      </c>
      <c r="H517" s="241" t="str">
        <f t="shared" si="54"/>
        <v xml:space="preserve">Baker, Herb/Gloria </v>
      </c>
      <c r="I517" s="241" t="s">
        <v>849</v>
      </c>
    </row>
    <row r="518" spans="1:9" ht="12.95" customHeight="1" x14ac:dyDescent="0.2">
      <c r="A518" s="274">
        <v>5661</v>
      </c>
      <c r="B518" s="241" t="str">
        <f t="shared" si="51"/>
        <v>YT</v>
      </c>
      <c r="C518" s="243" t="str">
        <f t="shared" si="50"/>
        <v/>
      </c>
      <c r="D518" s="275" t="s">
        <v>886</v>
      </c>
      <c r="E518" s="214" t="str">
        <f t="shared" si="52"/>
        <v>YT</v>
      </c>
      <c r="F518" s="242">
        <f t="shared" si="53"/>
        <v>5661</v>
      </c>
      <c r="G518" s="274">
        <v>500</v>
      </c>
      <c r="H518" s="241" t="str">
        <f t="shared" si="54"/>
        <v xml:space="preserve">Yu, Terry </v>
      </c>
      <c r="I518" s="241" t="s">
        <v>849</v>
      </c>
    </row>
    <row r="519" spans="1:9" ht="12.95" customHeight="1" x14ac:dyDescent="0.2">
      <c r="A519" s="274">
        <v>5662</v>
      </c>
      <c r="B519" s="241" t="str">
        <f t="shared" si="51"/>
        <v>SP</v>
      </c>
      <c r="C519" s="243" t="str">
        <f t="shared" si="50"/>
        <v/>
      </c>
      <c r="D519" s="275" t="s">
        <v>477</v>
      </c>
      <c r="E519" s="214" t="str">
        <f t="shared" si="52"/>
        <v>SP</v>
      </c>
      <c r="F519" s="242">
        <f t="shared" si="53"/>
        <v>5662</v>
      </c>
      <c r="G519" s="274">
        <v>500</v>
      </c>
      <c r="H519" s="241" t="str">
        <f t="shared" si="54"/>
        <v xml:space="preserve">Shih, Ping-yi </v>
      </c>
      <c r="I519" s="241" t="s">
        <v>849</v>
      </c>
    </row>
    <row r="520" spans="1:9" ht="12.95" customHeight="1" x14ac:dyDescent="0.2">
      <c r="A520" s="274">
        <v>5663</v>
      </c>
      <c r="B520" s="241" t="str">
        <f t="shared" si="51"/>
        <v>SS</v>
      </c>
      <c r="C520" s="243" t="str">
        <f t="shared" si="50"/>
        <v/>
      </c>
      <c r="D520" s="275" t="s">
        <v>259</v>
      </c>
      <c r="E520" s="214" t="str">
        <f t="shared" si="52"/>
        <v>SS</v>
      </c>
      <c r="F520" s="242">
        <f t="shared" si="53"/>
        <v>5663</v>
      </c>
      <c r="G520" s="274">
        <v>500</v>
      </c>
      <c r="H520" s="241" t="str">
        <f t="shared" si="54"/>
        <v xml:space="preserve">Shih Special </v>
      </c>
      <c r="I520" s="241" t="s">
        <v>848</v>
      </c>
    </row>
    <row r="521" spans="1:9" ht="12.95" customHeight="1" x14ac:dyDescent="0.2">
      <c r="A521" s="274">
        <v>5664</v>
      </c>
      <c r="B521" s="241" t="str">
        <f t="shared" si="51"/>
        <v>DS</v>
      </c>
      <c r="C521" s="243" t="str">
        <f t="shared" si="50"/>
        <v/>
      </c>
      <c r="D521" s="275" t="s">
        <v>343</v>
      </c>
      <c r="E521" s="214" t="str">
        <f t="shared" si="52"/>
        <v>DS</v>
      </c>
      <c r="F521" s="242">
        <f t="shared" si="53"/>
        <v>5664</v>
      </c>
      <c r="G521" s="274">
        <v>500</v>
      </c>
      <c r="H521" s="241" t="str">
        <f t="shared" si="54"/>
        <v xml:space="preserve">Davis Special </v>
      </c>
      <c r="I521" s="241" t="s">
        <v>848</v>
      </c>
    </row>
    <row r="522" spans="1:9" ht="12.95" customHeight="1" x14ac:dyDescent="0.2">
      <c r="A522" s="274">
        <v>5665</v>
      </c>
      <c r="B522" s="241" t="str">
        <f t="shared" si="51"/>
        <v>DH</v>
      </c>
      <c r="C522" s="243" t="str">
        <f t="shared" si="50"/>
        <v/>
      </c>
      <c r="D522" s="275" t="s">
        <v>344</v>
      </c>
      <c r="E522" s="214" t="str">
        <f t="shared" si="52"/>
        <v>DH</v>
      </c>
      <c r="F522" s="242">
        <f t="shared" si="53"/>
        <v>5665</v>
      </c>
      <c r="G522" s="274">
        <v>500</v>
      </c>
      <c r="H522" s="241" t="str">
        <f t="shared" si="54"/>
        <v xml:space="preserve">Davis, Howard </v>
      </c>
      <c r="I522" s="241" t="s">
        <v>849</v>
      </c>
    </row>
    <row r="523" spans="1:9" ht="12.95" customHeight="1" x14ac:dyDescent="0.2">
      <c r="A523" s="274">
        <v>5666</v>
      </c>
      <c r="B523" s="241" t="str">
        <f t="shared" si="51"/>
        <v>BA</v>
      </c>
      <c r="C523" s="243" t="str">
        <f t="shared" si="50"/>
        <v/>
      </c>
      <c r="D523" s="275" t="s">
        <v>889</v>
      </c>
      <c r="E523" s="214" t="str">
        <f t="shared" si="52"/>
        <v>BA</v>
      </c>
      <c r="F523" s="242">
        <f t="shared" si="53"/>
        <v>5666</v>
      </c>
      <c r="G523" s="274">
        <v>500</v>
      </c>
      <c r="H523" s="241" t="str">
        <f t="shared" si="54"/>
        <v xml:space="preserve">Bell, Andrew </v>
      </c>
      <c r="I523" s="241" t="s">
        <v>849</v>
      </c>
    </row>
    <row r="524" spans="1:9" ht="12.95" customHeight="1" x14ac:dyDescent="0.2">
      <c r="A524" s="274">
        <v>5667</v>
      </c>
      <c r="B524" s="241" t="str">
        <f t="shared" si="51"/>
        <v>SJ</v>
      </c>
      <c r="C524" s="243" t="str">
        <f t="shared" si="50"/>
        <v/>
      </c>
      <c r="D524" s="275" t="s">
        <v>264</v>
      </c>
      <c r="E524" s="214" t="str">
        <f t="shared" si="52"/>
        <v>SJ</v>
      </c>
      <c r="F524" s="242">
        <f t="shared" si="53"/>
        <v>5667</v>
      </c>
      <c r="G524" s="274">
        <v>500</v>
      </c>
      <c r="H524" s="241" t="str">
        <f t="shared" si="54"/>
        <v xml:space="preserve">Spady, Jim </v>
      </c>
      <c r="I524" s="241" t="s">
        <v>849</v>
      </c>
    </row>
    <row r="525" spans="1:9" ht="12.95" customHeight="1" x14ac:dyDescent="0.2">
      <c r="A525" s="274">
        <v>5668</v>
      </c>
      <c r="B525" s="241" t="str">
        <f t="shared" si="51"/>
        <v>SS</v>
      </c>
      <c r="C525" s="243" t="str">
        <f t="shared" si="50"/>
        <v/>
      </c>
      <c r="D525" s="275" t="s">
        <v>263</v>
      </c>
      <c r="E525" s="214" t="str">
        <f t="shared" si="52"/>
        <v>SS</v>
      </c>
      <c r="F525" s="242">
        <f t="shared" si="53"/>
        <v>5668</v>
      </c>
      <c r="G525" s="274">
        <v>500</v>
      </c>
      <c r="H525" s="241" t="str">
        <f t="shared" si="54"/>
        <v xml:space="preserve">Spady Special </v>
      </c>
      <c r="I525" s="241" t="s">
        <v>848</v>
      </c>
    </row>
    <row r="526" spans="1:9" ht="12.95" customHeight="1" x14ac:dyDescent="0.2">
      <c r="A526" s="274">
        <v>5669</v>
      </c>
      <c r="B526" s="241" t="str">
        <f t="shared" si="51"/>
        <v>RB</v>
      </c>
      <c r="C526" s="243" t="str">
        <f t="shared" si="50"/>
        <v/>
      </c>
      <c r="D526" s="275" t="s">
        <v>255</v>
      </c>
      <c r="E526" s="214" t="str">
        <f t="shared" si="52"/>
        <v>RB</v>
      </c>
      <c r="F526" s="242">
        <f t="shared" si="53"/>
        <v>5669</v>
      </c>
      <c r="G526" s="274">
        <v>500</v>
      </c>
      <c r="H526" s="241" t="str">
        <f t="shared" si="54"/>
        <v xml:space="preserve">Reid, Buck </v>
      </c>
      <c r="I526" s="241" t="s">
        <v>849</v>
      </c>
    </row>
    <row r="527" spans="1:9" ht="12.95" customHeight="1" x14ac:dyDescent="0.2">
      <c r="A527" s="274">
        <v>5670</v>
      </c>
      <c r="B527" s="241" t="str">
        <f t="shared" si="51"/>
        <v>MH</v>
      </c>
      <c r="C527" s="243" t="str">
        <f t="shared" si="50"/>
        <v/>
      </c>
      <c r="D527" s="275" t="s">
        <v>240</v>
      </c>
      <c r="E527" s="214" t="str">
        <f t="shared" si="52"/>
        <v>MH</v>
      </c>
      <c r="F527" s="242">
        <f t="shared" si="53"/>
        <v>5670</v>
      </c>
      <c r="G527" s="274">
        <v>500</v>
      </c>
      <c r="H527" s="241" t="str">
        <f t="shared" si="54"/>
        <v xml:space="preserve">McFarland, Howard </v>
      </c>
      <c r="I527" s="241" t="s">
        <v>849</v>
      </c>
    </row>
    <row r="528" spans="1:9" ht="12.95" customHeight="1" x14ac:dyDescent="0.2">
      <c r="A528" s="274">
        <v>5671</v>
      </c>
      <c r="B528" s="241" t="str">
        <f t="shared" si="51"/>
        <v>LH</v>
      </c>
      <c r="C528" s="243" t="str">
        <f t="shared" si="50"/>
        <v/>
      </c>
      <c r="D528" s="275" t="s">
        <v>890</v>
      </c>
      <c r="E528" s="214" t="str">
        <f t="shared" si="52"/>
        <v>LH</v>
      </c>
      <c r="F528" s="242">
        <f t="shared" si="53"/>
        <v>5671</v>
      </c>
      <c r="G528" s="274">
        <v>500</v>
      </c>
      <c r="H528" s="241" t="str">
        <f t="shared" si="54"/>
        <v xml:space="preserve">Lackey, Heather </v>
      </c>
      <c r="I528" s="241" t="s">
        <v>849</v>
      </c>
    </row>
    <row r="529" spans="1:9" ht="12.95" customHeight="1" x14ac:dyDescent="0.2">
      <c r="A529" s="274">
        <v>5672</v>
      </c>
      <c r="B529" s="241" t="str">
        <f t="shared" si="51"/>
        <v>BK</v>
      </c>
      <c r="C529" s="243" t="str">
        <f t="shared" si="50"/>
        <v/>
      </c>
      <c r="D529" s="275" t="s">
        <v>323</v>
      </c>
      <c r="E529" s="214" t="str">
        <f t="shared" si="52"/>
        <v>BK</v>
      </c>
      <c r="F529" s="242">
        <f t="shared" si="53"/>
        <v>5672</v>
      </c>
      <c r="G529" s="274">
        <v>500</v>
      </c>
      <c r="H529" s="241" t="str">
        <f t="shared" si="54"/>
        <v xml:space="preserve">Burton, Kristi </v>
      </c>
      <c r="I529" s="241" t="s">
        <v>849</v>
      </c>
    </row>
    <row r="530" spans="1:9" ht="12.95" customHeight="1" x14ac:dyDescent="0.2">
      <c r="A530" s="274">
        <v>5673</v>
      </c>
      <c r="B530" s="241" t="str">
        <f t="shared" si="51"/>
        <v>BS</v>
      </c>
      <c r="C530" s="243" t="str">
        <f t="shared" si="50"/>
        <v/>
      </c>
      <c r="D530" s="275" t="s">
        <v>198</v>
      </c>
      <c r="E530" s="214" t="str">
        <f t="shared" si="52"/>
        <v>BS</v>
      </c>
      <c r="F530" s="242">
        <f t="shared" si="53"/>
        <v>5673</v>
      </c>
      <c r="G530" s="274">
        <v>500</v>
      </c>
      <c r="H530" s="241" t="str">
        <f t="shared" si="54"/>
        <v xml:space="preserve">Burton Special </v>
      </c>
      <c r="I530" s="241" t="s">
        <v>848</v>
      </c>
    </row>
    <row r="531" spans="1:9" ht="12.95" customHeight="1" x14ac:dyDescent="0.2">
      <c r="A531" s="274">
        <v>5675</v>
      </c>
      <c r="B531" s="241" t="str">
        <f t="shared" si="51"/>
        <v>LK</v>
      </c>
      <c r="C531" s="243" t="str">
        <f t="shared" si="50"/>
        <v/>
      </c>
      <c r="D531" s="275" t="s">
        <v>892</v>
      </c>
      <c r="E531" s="214" t="str">
        <f t="shared" si="52"/>
        <v>LK</v>
      </c>
      <c r="F531" s="242">
        <f t="shared" si="53"/>
        <v>5675</v>
      </c>
      <c r="G531" s="274">
        <v>500</v>
      </c>
      <c r="H531" s="241" t="str">
        <f t="shared" si="54"/>
        <v xml:space="preserve">Lockhart, Kyle </v>
      </c>
      <c r="I531" s="241" t="s">
        <v>849</v>
      </c>
    </row>
    <row r="532" spans="1:9" ht="12.95" customHeight="1" x14ac:dyDescent="0.2">
      <c r="A532" s="274">
        <v>5679</v>
      </c>
      <c r="B532" s="241" t="str">
        <f t="shared" si="51"/>
        <v>HJ</v>
      </c>
      <c r="C532" s="243" t="str">
        <f t="shared" si="50"/>
        <v/>
      </c>
      <c r="D532" s="275" t="s">
        <v>991</v>
      </c>
      <c r="E532" s="214" t="str">
        <f t="shared" si="52"/>
        <v>HJ</v>
      </c>
      <c r="F532" s="242">
        <f t="shared" si="53"/>
        <v>5679</v>
      </c>
      <c r="G532" s="274">
        <v>500</v>
      </c>
      <c r="H532" s="241" t="str">
        <f t="shared" si="54"/>
        <v xml:space="preserve">Herman, Jamieson </v>
      </c>
      <c r="I532" s="241" t="s">
        <v>849</v>
      </c>
    </row>
    <row r="533" spans="1:9" ht="12.95" customHeight="1" x14ac:dyDescent="0.2">
      <c r="A533" s="274">
        <v>5681</v>
      </c>
      <c r="B533" s="241" t="str">
        <f t="shared" si="51"/>
        <v>CB</v>
      </c>
      <c r="C533" s="243" t="str">
        <f t="shared" si="50"/>
        <v/>
      </c>
      <c r="D533" s="275" t="s">
        <v>992</v>
      </c>
      <c r="E533" s="214" t="str">
        <f t="shared" si="52"/>
        <v>CB</v>
      </c>
      <c r="F533" s="242">
        <f t="shared" si="53"/>
        <v>5681</v>
      </c>
      <c r="G533" s="274">
        <v>500</v>
      </c>
      <c r="H533" s="241" t="str">
        <f t="shared" si="54"/>
        <v xml:space="preserve">Cordell, Beth </v>
      </c>
      <c r="I533" s="241" t="s">
        <v>849</v>
      </c>
    </row>
    <row r="534" spans="1:9" ht="12.95" customHeight="1" x14ac:dyDescent="0.2">
      <c r="A534" s="274">
        <v>5683</v>
      </c>
      <c r="B534" s="241" t="str">
        <f t="shared" si="51"/>
        <v>CS</v>
      </c>
      <c r="C534" s="243" t="str">
        <f t="shared" si="50"/>
        <v/>
      </c>
      <c r="D534" s="275" t="s">
        <v>330</v>
      </c>
      <c r="E534" s="214" t="str">
        <f t="shared" si="52"/>
        <v>CS</v>
      </c>
      <c r="F534" s="242">
        <f t="shared" si="53"/>
        <v>5683</v>
      </c>
      <c r="G534" s="274">
        <v>500</v>
      </c>
      <c r="H534" s="241" t="str">
        <f t="shared" si="54"/>
        <v xml:space="preserve">Chen Special </v>
      </c>
      <c r="I534" s="241" t="s">
        <v>848</v>
      </c>
    </row>
    <row r="535" spans="1:9" ht="12.95" customHeight="1" x14ac:dyDescent="0.2">
      <c r="A535" s="274">
        <v>5684</v>
      </c>
      <c r="B535" s="241" t="str">
        <f t="shared" si="51"/>
        <v>CJ</v>
      </c>
      <c r="C535" s="243" t="str">
        <f t="shared" si="50"/>
        <v/>
      </c>
      <c r="D535" s="275" t="s">
        <v>331</v>
      </c>
      <c r="E535" s="214" t="str">
        <f t="shared" si="52"/>
        <v>CJ</v>
      </c>
      <c r="F535" s="242">
        <f t="shared" si="53"/>
        <v>5684</v>
      </c>
      <c r="G535" s="274">
        <v>500</v>
      </c>
      <c r="H535" s="241" t="str">
        <f t="shared" si="54"/>
        <v xml:space="preserve">Chen, Jennifer </v>
      </c>
      <c r="I535" s="241" t="s">
        <v>849</v>
      </c>
    </row>
    <row r="536" spans="1:9" ht="12.95" customHeight="1" x14ac:dyDescent="0.2">
      <c r="A536" s="274">
        <v>5686</v>
      </c>
      <c r="B536" s="241" t="str">
        <f t="shared" si="51"/>
        <v>DJ</v>
      </c>
      <c r="C536" s="243" t="str">
        <f t="shared" si="50"/>
        <v/>
      </c>
      <c r="D536" s="275" t="s">
        <v>349</v>
      </c>
      <c r="E536" s="214" t="str">
        <f t="shared" si="52"/>
        <v>DJ</v>
      </c>
      <c r="F536" s="242">
        <f t="shared" si="53"/>
        <v>5686</v>
      </c>
      <c r="G536" s="274">
        <v>500</v>
      </c>
      <c r="H536" s="241" t="str">
        <f t="shared" si="54"/>
        <v xml:space="preserve">Desai, John &amp; Aruna </v>
      </c>
      <c r="I536" s="241" t="s">
        <v>849</v>
      </c>
    </row>
    <row r="537" spans="1:9" ht="12.95" customHeight="1" x14ac:dyDescent="0.2">
      <c r="A537" s="274">
        <v>5687</v>
      </c>
      <c r="B537" s="241" t="str">
        <f t="shared" si="51"/>
        <v>SC</v>
      </c>
      <c r="C537" s="243" t="str">
        <f t="shared" si="50"/>
        <v/>
      </c>
      <c r="D537" s="275" t="s">
        <v>948</v>
      </c>
      <c r="E537" s="214" t="str">
        <f t="shared" si="52"/>
        <v>SC</v>
      </c>
      <c r="F537" s="242">
        <f t="shared" si="53"/>
        <v>5687</v>
      </c>
      <c r="G537" s="274">
        <v>500</v>
      </c>
      <c r="H537" s="241" t="str">
        <f t="shared" si="54"/>
        <v xml:space="preserve">Shirk, Carl &amp; Lesley </v>
      </c>
      <c r="I537" s="241" t="s">
        <v>849</v>
      </c>
    </row>
    <row r="538" spans="1:9" ht="12.95" customHeight="1" x14ac:dyDescent="0.2">
      <c r="A538" s="274">
        <v>5688</v>
      </c>
      <c r="B538" s="241" t="str">
        <f t="shared" si="51"/>
        <v>HS</v>
      </c>
      <c r="C538" s="243" t="str">
        <f t="shared" si="50"/>
        <v/>
      </c>
      <c r="D538" s="275" t="s">
        <v>988</v>
      </c>
      <c r="E538" s="214" t="str">
        <f t="shared" si="52"/>
        <v>HS</v>
      </c>
      <c r="F538" s="242">
        <f t="shared" si="53"/>
        <v>5688</v>
      </c>
      <c r="G538" s="274">
        <v>500</v>
      </c>
      <c r="H538" s="241" t="str">
        <f t="shared" si="54"/>
        <v xml:space="preserve">Haddock, Stephanie </v>
      </c>
      <c r="I538" s="241" t="s">
        <v>849</v>
      </c>
    </row>
    <row r="539" spans="1:9" ht="12.95" customHeight="1" x14ac:dyDescent="0.2">
      <c r="A539" s="274">
        <v>5689</v>
      </c>
      <c r="B539" s="241" t="str">
        <f t="shared" si="51"/>
        <v>FC</v>
      </c>
      <c r="C539" s="243" t="str">
        <f t="shared" si="50"/>
        <v/>
      </c>
      <c r="D539" s="275" t="s">
        <v>364</v>
      </c>
      <c r="E539" s="214" t="str">
        <f t="shared" si="52"/>
        <v>FC</v>
      </c>
      <c r="F539" s="242">
        <f t="shared" si="53"/>
        <v>5689</v>
      </c>
      <c r="G539" s="274">
        <v>500</v>
      </c>
      <c r="H539" s="241" t="str">
        <f t="shared" si="54"/>
        <v xml:space="preserve">Fitzgerald China Trip </v>
      </c>
      <c r="I539" s="241" t="s">
        <v>848</v>
      </c>
    </row>
    <row r="540" spans="1:9" ht="12.95" customHeight="1" x14ac:dyDescent="0.2">
      <c r="A540" s="274">
        <v>5690</v>
      </c>
      <c r="B540" s="241" t="str">
        <f t="shared" si="51"/>
        <v>FR</v>
      </c>
      <c r="C540" s="243" t="str">
        <f t="shared" si="50"/>
        <v/>
      </c>
      <c r="D540" s="275" t="s">
        <v>365</v>
      </c>
      <c r="E540" s="214" t="str">
        <f t="shared" si="52"/>
        <v>FR</v>
      </c>
      <c r="F540" s="242">
        <f t="shared" si="53"/>
        <v>5690</v>
      </c>
      <c r="G540" s="274">
        <v>500</v>
      </c>
      <c r="H540" s="241" t="str">
        <f t="shared" si="54"/>
        <v xml:space="preserve">Fitzgerald, Robert </v>
      </c>
      <c r="I540" s="241" t="s">
        <v>849</v>
      </c>
    </row>
    <row r="541" spans="1:9" ht="12.95" customHeight="1" x14ac:dyDescent="0.2">
      <c r="A541" s="274">
        <v>5691</v>
      </c>
      <c r="B541" s="241" t="str">
        <f t="shared" si="51"/>
        <v>FS</v>
      </c>
      <c r="C541" s="243" t="str">
        <f t="shared" si="50"/>
        <v/>
      </c>
      <c r="D541" s="275" t="s">
        <v>217</v>
      </c>
      <c r="E541" s="214" t="str">
        <f t="shared" si="52"/>
        <v>FS</v>
      </c>
      <c r="F541" s="242">
        <f t="shared" si="53"/>
        <v>5691</v>
      </c>
      <c r="G541" s="274">
        <v>500</v>
      </c>
      <c r="H541" s="241" t="str">
        <f t="shared" si="54"/>
        <v>Fitgerald Special</v>
      </c>
      <c r="I541" s="241" t="s">
        <v>848</v>
      </c>
    </row>
    <row r="542" spans="1:9" ht="12.95" customHeight="1" x14ac:dyDescent="0.2">
      <c r="A542" s="274">
        <v>5692</v>
      </c>
      <c r="B542" s="241" t="str">
        <f t="shared" si="51"/>
        <v>DH</v>
      </c>
      <c r="C542" s="243" t="str">
        <f t="shared" si="50"/>
        <v/>
      </c>
      <c r="D542" s="275" t="s">
        <v>347</v>
      </c>
      <c r="E542" s="214" t="str">
        <f t="shared" si="52"/>
        <v>DH</v>
      </c>
      <c r="F542" s="242">
        <f t="shared" si="53"/>
        <v>5692</v>
      </c>
      <c r="G542" s="274">
        <v>500</v>
      </c>
      <c r="H542" s="241" t="str">
        <f t="shared" si="54"/>
        <v xml:space="preserve">Desai House Fund </v>
      </c>
      <c r="I542" s="241" t="s">
        <v>848</v>
      </c>
    </row>
    <row r="543" spans="1:9" ht="12.95" customHeight="1" x14ac:dyDescent="0.2">
      <c r="A543" s="274">
        <v>5693</v>
      </c>
      <c r="B543" s="241" t="str">
        <f t="shared" si="51"/>
        <v>JB</v>
      </c>
      <c r="C543" s="243" t="str">
        <f t="shared" si="50"/>
        <v/>
      </c>
      <c r="D543" s="275" t="s">
        <v>1008</v>
      </c>
      <c r="E543" s="214" t="str">
        <f t="shared" si="52"/>
        <v>JB</v>
      </c>
      <c r="F543" s="242">
        <v>5693</v>
      </c>
      <c r="G543" s="274">
        <v>500</v>
      </c>
      <c r="H543" s="241" t="str">
        <f t="shared" si="54"/>
        <v xml:space="preserve">Jaletta, Blen </v>
      </c>
      <c r="I543" s="241" t="s">
        <v>849</v>
      </c>
    </row>
    <row r="544" spans="1:9" ht="12.95" customHeight="1" x14ac:dyDescent="0.2">
      <c r="A544" s="274">
        <v>5694</v>
      </c>
      <c r="B544" s="241" t="str">
        <f t="shared" si="51"/>
        <v>GS</v>
      </c>
      <c r="C544" s="243" t="str">
        <f t="shared" si="50"/>
        <v/>
      </c>
      <c r="D544" s="275" t="s">
        <v>369</v>
      </c>
      <c r="E544" s="214" t="str">
        <f t="shared" si="52"/>
        <v>GS</v>
      </c>
      <c r="F544" s="242">
        <f t="shared" ref="F544:F578" si="55">A544</f>
        <v>5694</v>
      </c>
      <c r="G544" s="274">
        <v>500</v>
      </c>
      <c r="H544" s="241" t="str">
        <f t="shared" si="54"/>
        <v xml:space="preserve">Germann Special </v>
      </c>
      <c r="I544" s="241" t="s">
        <v>848</v>
      </c>
    </row>
    <row r="545" spans="1:9" ht="12.95" customHeight="1" x14ac:dyDescent="0.2">
      <c r="A545" s="274">
        <v>5695</v>
      </c>
      <c r="B545" s="241" t="str">
        <f t="shared" si="51"/>
        <v>GE</v>
      </c>
      <c r="C545" s="243" t="str">
        <f t="shared" si="50"/>
        <v/>
      </c>
      <c r="D545" s="275" t="s">
        <v>370</v>
      </c>
      <c r="E545" s="214" t="str">
        <f t="shared" si="52"/>
        <v>GE</v>
      </c>
      <c r="F545" s="242">
        <f t="shared" si="55"/>
        <v>5695</v>
      </c>
      <c r="G545" s="274">
        <v>500</v>
      </c>
      <c r="H545" s="241" t="str">
        <f t="shared" si="54"/>
        <v xml:space="preserve">Germann, Ed </v>
      </c>
      <c r="I545" s="241" t="s">
        <v>849</v>
      </c>
    </row>
    <row r="546" spans="1:9" ht="12.95" customHeight="1" x14ac:dyDescent="0.2">
      <c r="A546" s="274">
        <v>5697</v>
      </c>
      <c r="B546" s="241" t="str">
        <f t="shared" si="51"/>
        <v>GZ</v>
      </c>
      <c r="C546" s="243" t="str">
        <f t="shared" si="50"/>
        <v/>
      </c>
      <c r="D546" s="275" t="s">
        <v>1025</v>
      </c>
      <c r="E546" s="214" t="str">
        <f t="shared" si="52"/>
        <v>GZ</v>
      </c>
      <c r="F546" s="242">
        <f t="shared" si="55"/>
        <v>5697</v>
      </c>
      <c r="G546" s="274">
        <v>500</v>
      </c>
      <c r="H546" s="241" t="str">
        <f t="shared" si="54"/>
        <v xml:space="preserve">Gustafson, Zofia </v>
      </c>
      <c r="I546" s="241" t="s">
        <v>849</v>
      </c>
    </row>
    <row r="547" spans="1:9" ht="12.95" customHeight="1" x14ac:dyDescent="0.2">
      <c r="A547" s="274">
        <v>5699</v>
      </c>
      <c r="B547" s="241" t="str">
        <f t="shared" si="51"/>
        <v>MS</v>
      </c>
      <c r="C547" s="243" t="str">
        <f t="shared" si="50"/>
        <v/>
      </c>
      <c r="D547" s="275" t="s">
        <v>433</v>
      </c>
      <c r="E547" s="214" t="str">
        <f t="shared" si="52"/>
        <v>MS</v>
      </c>
      <c r="F547" s="242">
        <f t="shared" si="55"/>
        <v>5699</v>
      </c>
      <c r="G547" s="274">
        <v>500</v>
      </c>
      <c r="H547" s="241" t="str">
        <f t="shared" si="54"/>
        <v xml:space="preserve">McCoy Special </v>
      </c>
      <c r="I547" s="241" t="s">
        <v>848</v>
      </c>
    </row>
    <row r="548" spans="1:9" ht="12.95" customHeight="1" x14ac:dyDescent="0.2">
      <c r="A548" s="274">
        <v>5700</v>
      </c>
      <c r="B548" s="241" t="str">
        <f t="shared" si="51"/>
        <v>MS</v>
      </c>
      <c r="C548" s="243" t="str">
        <f t="shared" si="50"/>
        <v/>
      </c>
      <c r="D548" s="275" t="s">
        <v>236</v>
      </c>
      <c r="E548" s="214" t="str">
        <f t="shared" si="52"/>
        <v>MS</v>
      </c>
      <c r="F548" s="242">
        <f t="shared" si="55"/>
        <v>5700</v>
      </c>
      <c r="G548" s="274">
        <v>500</v>
      </c>
      <c r="H548" s="241" t="str">
        <f t="shared" si="54"/>
        <v xml:space="preserve">Maneevone Special </v>
      </c>
      <c r="I548" s="241" t="s">
        <v>848</v>
      </c>
    </row>
    <row r="549" spans="1:9" ht="12.95" customHeight="1" x14ac:dyDescent="0.2">
      <c r="A549" s="274">
        <v>5701</v>
      </c>
      <c r="B549" s="241" t="str">
        <f t="shared" si="51"/>
        <v>MW</v>
      </c>
      <c r="C549" s="243" t="str">
        <f t="shared" si="50"/>
        <v/>
      </c>
      <c r="D549" s="275" t="s">
        <v>428</v>
      </c>
      <c r="E549" s="214" t="str">
        <f t="shared" si="52"/>
        <v>MW</v>
      </c>
      <c r="F549" s="242">
        <f t="shared" si="55"/>
        <v>5701</v>
      </c>
      <c r="G549" s="274">
        <v>500</v>
      </c>
      <c r="H549" s="241" t="str">
        <f t="shared" si="54"/>
        <v xml:space="preserve">Maneevone, Wichit </v>
      </c>
      <c r="I549" s="241" t="s">
        <v>849</v>
      </c>
    </row>
    <row r="550" spans="1:9" ht="12.95" customHeight="1" x14ac:dyDescent="0.2">
      <c r="A550" s="274">
        <v>5704</v>
      </c>
      <c r="B550" s="241" t="s">
        <v>1031</v>
      </c>
      <c r="C550" s="243" t="str">
        <f t="shared" si="50"/>
        <v/>
      </c>
      <c r="D550" s="275" t="s">
        <v>1032</v>
      </c>
      <c r="E550" s="214" t="str">
        <f t="shared" si="52"/>
        <v>TJ</v>
      </c>
      <c r="F550" s="242">
        <f t="shared" si="55"/>
        <v>5704</v>
      </c>
      <c r="G550" s="274">
        <v>500</v>
      </c>
      <c r="H550" s="241" t="str">
        <f t="shared" si="54"/>
        <v xml:space="preserve">Tidd, Joshua </v>
      </c>
      <c r="I550" s="241" t="s">
        <v>849</v>
      </c>
    </row>
    <row r="551" spans="1:9" ht="12.95" customHeight="1" x14ac:dyDescent="0.2">
      <c r="A551" s="274">
        <v>5706</v>
      </c>
      <c r="B551" s="241" t="str">
        <f t="shared" si="51"/>
        <v>BD</v>
      </c>
      <c r="C551" s="243" t="str">
        <f t="shared" si="50"/>
        <v/>
      </c>
      <c r="D551" s="275" t="s">
        <v>319</v>
      </c>
      <c r="E551" s="214" t="str">
        <f t="shared" si="52"/>
        <v>BD</v>
      </c>
      <c r="F551" s="242">
        <f t="shared" si="55"/>
        <v>5706</v>
      </c>
      <c r="G551" s="274">
        <v>500</v>
      </c>
      <c r="H551" s="241" t="str">
        <f t="shared" si="54"/>
        <v xml:space="preserve">Brannen, Dan &amp; Carolyn </v>
      </c>
      <c r="I551" s="241" t="s">
        <v>849</v>
      </c>
    </row>
    <row r="552" spans="1:9" ht="12.95" customHeight="1" x14ac:dyDescent="0.2">
      <c r="A552" s="274">
        <v>5707</v>
      </c>
      <c r="B552" s="241" t="str">
        <f t="shared" ref="B552" si="56">E552</f>
        <v>MM</v>
      </c>
      <c r="C552" s="243" t="str">
        <f t="shared" ref="C552" si="57">IFERROR(MID(D552,SEARCH("{",D552,1)+1,SEARCH("}",D552,1)-SEARCH("{",D552,1)-1),"")</f>
        <v/>
      </c>
      <c r="D552" s="275" t="s">
        <v>1035</v>
      </c>
      <c r="E552" s="214" t="str">
        <f t="shared" ref="E552" si="58">LEFT(D552,1)&amp;MID(D552,SEARCH(" ",D552,1)+1,1)</f>
        <v>MM</v>
      </c>
      <c r="F552" s="242">
        <f t="shared" si="55"/>
        <v>5707</v>
      </c>
      <c r="G552" s="274">
        <v>500</v>
      </c>
      <c r="H552" s="241" t="str">
        <f t="shared" si="54"/>
        <v xml:space="preserve">Mahmoudi, Mohammad </v>
      </c>
      <c r="I552" s="241" t="s">
        <v>849</v>
      </c>
    </row>
    <row r="553" spans="1:9" ht="12.95" customHeight="1" x14ac:dyDescent="0.2">
      <c r="A553" s="274">
        <v>5708</v>
      </c>
      <c r="B553" s="241" t="str">
        <f t="shared" si="51"/>
        <v>TO</v>
      </c>
      <c r="C553" s="243" t="str">
        <f t="shared" si="50"/>
        <v/>
      </c>
      <c r="D553" s="275" t="s">
        <v>269</v>
      </c>
      <c r="E553" s="214" t="str">
        <f t="shared" si="52"/>
        <v>TO</v>
      </c>
      <c r="F553" s="242">
        <f t="shared" si="55"/>
        <v>5708</v>
      </c>
      <c r="G553" s="274">
        <v>500</v>
      </c>
      <c r="H553" s="241" t="str">
        <f t="shared" si="54"/>
        <v xml:space="preserve">Townsend, Opal </v>
      </c>
      <c r="I553" s="241" t="s">
        <v>849</v>
      </c>
    </row>
    <row r="554" spans="1:9" ht="12.95" customHeight="1" x14ac:dyDescent="0.2">
      <c r="A554" s="274">
        <v>5709</v>
      </c>
      <c r="B554" s="241" t="str">
        <f t="shared" si="51"/>
        <v>YN</v>
      </c>
      <c r="C554" s="243" t="str">
        <f t="shared" si="50"/>
        <v/>
      </c>
      <c r="D554" s="275" t="s">
        <v>497</v>
      </c>
      <c r="E554" s="214" t="str">
        <f t="shared" si="52"/>
        <v>YN</v>
      </c>
      <c r="F554" s="242">
        <f t="shared" si="55"/>
        <v>5709</v>
      </c>
      <c r="G554" s="274">
        <v>500</v>
      </c>
      <c r="H554" s="241" t="str">
        <f t="shared" si="54"/>
        <v xml:space="preserve">Yamazawa, Naomi </v>
      </c>
      <c r="I554" s="241" t="s">
        <v>849</v>
      </c>
    </row>
    <row r="555" spans="1:9" ht="12.95" customHeight="1" x14ac:dyDescent="0.2">
      <c r="A555" s="274">
        <v>5710</v>
      </c>
      <c r="B555" s="241" t="str">
        <f t="shared" si="51"/>
        <v>CD</v>
      </c>
      <c r="C555" s="243" t="str">
        <f t="shared" si="50"/>
        <v/>
      </c>
      <c r="D555" s="275" t="s">
        <v>1037</v>
      </c>
      <c r="E555" s="214" t="str">
        <f t="shared" si="52"/>
        <v>CD</v>
      </c>
      <c r="F555" s="242">
        <f t="shared" si="55"/>
        <v>5710</v>
      </c>
      <c r="G555" s="274">
        <v>500</v>
      </c>
      <c r="H555" s="241" t="str">
        <f t="shared" si="54"/>
        <v xml:space="preserve">Chen, Denise </v>
      </c>
      <c r="I555" s="241" t="s">
        <v>849</v>
      </c>
    </row>
    <row r="556" spans="1:9" ht="12.95" customHeight="1" x14ac:dyDescent="0.2">
      <c r="A556" s="274">
        <v>5712</v>
      </c>
      <c r="B556" s="241" t="str">
        <f t="shared" si="51"/>
        <v>HR</v>
      </c>
      <c r="C556" s="243" t="str">
        <f t="shared" si="50"/>
        <v/>
      </c>
      <c r="D556" s="275" t="s">
        <v>1038</v>
      </c>
      <c r="E556" s="214" t="str">
        <f t="shared" si="52"/>
        <v>HR</v>
      </c>
      <c r="F556" s="242">
        <f t="shared" si="55"/>
        <v>5712</v>
      </c>
      <c r="G556" s="274">
        <v>500</v>
      </c>
      <c r="H556" s="241" t="str">
        <f t="shared" si="54"/>
        <v xml:space="preserve">Herring, Richard </v>
      </c>
      <c r="I556" s="241" t="s">
        <v>849</v>
      </c>
    </row>
    <row r="557" spans="1:9" ht="12.95" customHeight="1" x14ac:dyDescent="0.2">
      <c r="A557" s="274">
        <v>5713</v>
      </c>
      <c r="B557" s="241" t="str">
        <f t="shared" si="51"/>
        <v>CA</v>
      </c>
      <c r="C557" s="243" t="str">
        <f t="shared" si="50"/>
        <v/>
      </c>
      <c r="D557" s="275" t="s">
        <v>1039</v>
      </c>
      <c r="E557" s="214" t="str">
        <f t="shared" si="52"/>
        <v>CA</v>
      </c>
      <c r="F557" s="242">
        <f t="shared" si="55"/>
        <v>5713</v>
      </c>
      <c r="G557" s="274">
        <v>500</v>
      </c>
      <c r="H557" s="241" t="str">
        <f t="shared" si="54"/>
        <v xml:space="preserve">Carpenter, Amber </v>
      </c>
      <c r="I557" s="241" t="s">
        <v>849</v>
      </c>
    </row>
    <row r="558" spans="1:9" ht="12.95" customHeight="1" x14ac:dyDescent="0.2">
      <c r="A558" s="274">
        <v>5715</v>
      </c>
      <c r="B558" s="241" t="str">
        <f t="shared" si="51"/>
        <v>DR</v>
      </c>
      <c r="C558" s="243" t="str">
        <f t="shared" si="50"/>
        <v/>
      </c>
      <c r="D558" s="275" t="s">
        <v>1040</v>
      </c>
      <c r="E558" s="214" t="str">
        <f t="shared" si="52"/>
        <v>DR</v>
      </c>
      <c r="F558" s="242">
        <f t="shared" si="55"/>
        <v>5715</v>
      </c>
      <c r="G558" s="274">
        <v>500</v>
      </c>
      <c r="H558" s="241" t="str">
        <f t="shared" si="54"/>
        <v xml:space="preserve">Durestnefeld, Richard </v>
      </c>
      <c r="I558" s="241" t="s">
        <v>849</v>
      </c>
    </row>
    <row r="559" spans="1:9" ht="12.95" customHeight="1" x14ac:dyDescent="0.2">
      <c r="A559" s="274">
        <v>5718</v>
      </c>
      <c r="B559" s="241" t="str">
        <f t="shared" si="51"/>
        <v>DI</v>
      </c>
      <c r="C559" s="243" t="str">
        <f t="shared" ref="C559:C620" si="59">IFERROR(MID(D559,SEARCH("{",D559,1)+1,SEARCH("}",D559,1)-SEARCH("{",D559,1)-1),"")</f>
        <v/>
      </c>
      <c r="D559" s="275" t="s">
        <v>354</v>
      </c>
      <c r="E559" s="214" t="str">
        <f t="shared" si="52"/>
        <v>DI</v>
      </c>
      <c r="F559" s="242">
        <f t="shared" si="55"/>
        <v>5718</v>
      </c>
      <c r="G559" s="274">
        <v>500</v>
      </c>
      <c r="H559" s="241" t="str">
        <f t="shared" si="54"/>
        <v xml:space="preserve">Downs, Ian &amp; Erin </v>
      </c>
      <c r="I559" s="241" t="s">
        <v>849</v>
      </c>
    </row>
    <row r="560" spans="1:9" ht="12.95" customHeight="1" x14ac:dyDescent="0.2">
      <c r="A560" s="274">
        <v>5719</v>
      </c>
      <c r="B560" s="241" t="str">
        <f t="shared" si="51"/>
        <v>DS</v>
      </c>
      <c r="C560" s="243" t="str">
        <f t="shared" si="59"/>
        <v/>
      </c>
      <c r="D560" s="275" t="s">
        <v>353</v>
      </c>
      <c r="E560" s="214" t="str">
        <f t="shared" si="52"/>
        <v>DS</v>
      </c>
      <c r="F560" s="242">
        <f t="shared" si="55"/>
        <v>5719</v>
      </c>
      <c r="G560" s="274">
        <v>500</v>
      </c>
      <c r="H560" s="241" t="str">
        <f t="shared" si="54"/>
        <v xml:space="preserve">Downs Special </v>
      </c>
      <c r="I560" s="241" t="s">
        <v>848</v>
      </c>
    </row>
    <row r="561" spans="1:9" ht="12.95" customHeight="1" x14ac:dyDescent="0.2">
      <c r="A561" s="274">
        <v>5720</v>
      </c>
      <c r="B561" s="241" t="str">
        <f t="shared" si="51"/>
        <v>FP</v>
      </c>
      <c r="C561" s="243" t="str">
        <f t="shared" si="59"/>
        <v/>
      </c>
      <c r="D561" s="275" t="s">
        <v>367</v>
      </c>
      <c r="E561" s="214" t="str">
        <f t="shared" si="52"/>
        <v>FP</v>
      </c>
      <c r="F561" s="242">
        <f t="shared" si="55"/>
        <v>5720</v>
      </c>
      <c r="G561" s="274">
        <v>500</v>
      </c>
      <c r="H561" s="241" t="str">
        <f t="shared" si="54"/>
        <v xml:space="preserve">Flynn, Patrick &amp; Christy Lynn </v>
      </c>
      <c r="I561" s="241" t="s">
        <v>849</v>
      </c>
    </row>
    <row r="562" spans="1:9" ht="12.95" customHeight="1" x14ac:dyDescent="0.2">
      <c r="A562" s="274">
        <v>5721</v>
      </c>
      <c r="B562" s="241" t="str">
        <f t="shared" ref="B562:B642" si="60">E562</f>
        <v>FS</v>
      </c>
      <c r="C562" s="243" t="str">
        <f t="shared" si="59"/>
        <v/>
      </c>
      <c r="D562" s="275" t="s">
        <v>366</v>
      </c>
      <c r="E562" s="214" t="str">
        <f t="shared" ref="E562:E642" si="61">LEFT(D562,1)&amp;MID(D562,SEARCH(" ",D562,1)+1,1)</f>
        <v>FS</v>
      </c>
      <c r="F562" s="242">
        <f t="shared" si="55"/>
        <v>5721</v>
      </c>
      <c r="G562" s="274">
        <v>500</v>
      </c>
      <c r="H562" s="241" t="str">
        <f t="shared" si="54"/>
        <v xml:space="preserve">Flynn Special </v>
      </c>
      <c r="I562" s="241" t="s">
        <v>848</v>
      </c>
    </row>
    <row r="563" spans="1:9" ht="12.95" customHeight="1" x14ac:dyDescent="0.2">
      <c r="A563" s="274">
        <v>5722</v>
      </c>
      <c r="B563" s="241" t="str">
        <f t="shared" si="60"/>
        <v>ST</v>
      </c>
      <c r="C563" s="243" t="str">
        <f t="shared" si="59"/>
        <v/>
      </c>
      <c r="D563" s="275" t="s">
        <v>258</v>
      </c>
      <c r="E563" s="214" t="str">
        <f t="shared" si="61"/>
        <v>ST</v>
      </c>
      <c r="F563" s="242">
        <f t="shared" si="55"/>
        <v>5722</v>
      </c>
      <c r="G563" s="274">
        <v>500</v>
      </c>
      <c r="H563" s="241" t="str">
        <f t="shared" ref="H563:H626" si="62">LEFT(D563,SEARCH("(",D563,1)-1)</f>
        <v xml:space="preserve">Shelling, Ted </v>
      </c>
      <c r="I563" s="241" t="s">
        <v>849</v>
      </c>
    </row>
    <row r="564" spans="1:9" ht="12.95" customHeight="1" x14ac:dyDescent="0.2">
      <c r="A564" s="274">
        <v>5724</v>
      </c>
      <c r="B564" s="241" t="str">
        <f t="shared" si="60"/>
        <v>SS</v>
      </c>
      <c r="C564" s="243" t="str">
        <f t="shared" si="59"/>
        <v/>
      </c>
      <c r="D564" s="275" t="s">
        <v>1092</v>
      </c>
      <c r="E564" s="214" t="str">
        <f t="shared" si="61"/>
        <v>SS</v>
      </c>
      <c r="F564" s="242">
        <f t="shared" si="55"/>
        <v>5724</v>
      </c>
      <c r="G564" s="274">
        <v>500</v>
      </c>
      <c r="H564" s="241" t="str">
        <f t="shared" si="62"/>
        <v xml:space="preserve">Spain, Sarah </v>
      </c>
      <c r="I564" s="241" t="s">
        <v>849</v>
      </c>
    </row>
    <row r="565" spans="1:9" ht="12.95" customHeight="1" x14ac:dyDescent="0.2">
      <c r="A565" s="274">
        <v>5726</v>
      </c>
      <c r="B565" s="241" t="str">
        <f t="shared" si="60"/>
        <v>LL</v>
      </c>
      <c r="C565" s="243" t="str">
        <f t="shared" si="59"/>
        <v/>
      </c>
      <c r="D565" s="275" t="s">
        <v>1041</v>
      </c>
      <c r="E565" s="214" t="str">
        <f t="shared" si="61"/>
        <v>LL</v>
      </c>
      <c r="F565" s="242">
        <f t="shared" si="55"/>
        <v>5726</v>
      </c>
      <c r="G565" s="274">
        <v>500</v>
      </c>
      <c r="H565" s="241" t="str">
        <f t="shared" si="62"/>
        <v xml:space="preserve">Langford, Lezlie </v>
      </c>
      <c r="I565" s="241" t="s">
        <v>849</v>
      </c>
    </row>
    <row r="566" spans="1:9" ht="12.95" customHeight="1" x14ac:dyDescent="0.2">
      <c r="A566" s="274">
        <v>5728</v>
      </c>
      <c r="B566" s="241" t="str">
        <f t="shared" si="60"/>
        <v>MW</v>
      </c>
      <c r="C566" s="243" t="str">
        <f t="shared" si="59"/>
        <v/>
      </c>
      <c r="D566" s="275" t="s">
        <v>1042</v>
      </c>
      <c r="E566" s="214" t="str">
        <f t="shared" si="61"/>
        <v>MW</v>
      </c>
      <c r="F566" s="242">
        <f t="shared" si="55"/>
        <v>5728</v>
      </c>
      <c r="G566" s="274">
        <v>500</v>
      </c>
      <c r="H566" s="241" t="str">
        <f t="shared" si="62"/>
        <v xml:space="preserve">Moynihan, Wendy </v>
      </c>
      <c r="I566" s="241" t="s">
        <v>849</v>
      </c>
    </row>
    <row r="567" spans="1:9" ht="12.95" customHeight="1" x14ac:dyDescent="0.2">
      <c r="A567" s="274">
        <v>5730</v>
      </c>
      <c r="B567" s="241" t="str">
        <f t="shared" si="60"/>
        <v>RW</v>
      </c>
      <c r="C567" s="243" t="str">
        <f t="shared" si="59"/>
        <v/>
      </c>
      <c r="D567" s="275" t="s">
        <v>1043</v>
      </c>
      <c r="E567" s="214" t="str">
        <f t="shared" si="61"/>
        <v>RW</v>
      </c>
      <c r="F567" s="242">
        <f t="shared" si="55"/>
        <v>5730</v>
      </c>
      <c r="G567" s="274">
        <v>500</v>
      </c>
      <c r="H567" s="241" t="str">
        <f t="shared" si="62"/>
        <v xml:space="preserve">Roberson, William </v>
      </c>
      <c r="I567" s="241" t="s">
        <v>849</v>
      </c>
    </row>
    <row r="568" spans="1:9" ht="12.95" customHeight="1" x14ac:dyDescent="0.2">
      <c r="A568" s="274">
        <v>5731</v>
      </c>
      <c r="B568" s="241" t="str">
        <f t="shared" si="60"/>
        <v>BS</v>
      </c>
      <c r="C568" s="243" t="str">
        <f t="shared" si="59"/>
        <v/>
      </c>
      <c r="D568" s="275" t="s">
        <v>321</v>
      </c>
      <c r="E568" s="214" t="str">
        <f t="shared" si="61"/>
        <v>BS</v>
      </c>
      <c r="F568" s="242">
        <f t="shared" si="55"/>
        <v>5731</v>
      </c>
      <c r="G568" s="274">
        <v>500</v>
      </c>
      <c r="H568" s="241" t="str">
        <f t="shared" si="62"/>
        <v xml:space="preserve">Bullington Special </v>
      </c>
      <c r="I568" s="241" t="s">
        <v>848</v>
      </c>
    </row>
    <row r="569" spans="1:9" ht="12.95" customHeight="1" x14ac:dyDescent="0.2">
      <c r="A569" s="274">
        <v>5733</v>
      </c>
      <c r="B569" s="241" t="str">
        <f t="shared" si="60"/>
        <v>ES</v>
      </c>
      <c r="C569" s="243" t="str">
        <f t="shared" si="59"/>
        <v/>
      </c>
      <c r="D569" s="275" t="s">
        <v>759</v>
      </c>
      <c r="E569" s="214" t="str">
        <f t="shared" si="61"/>
        <v>ES</v>
      </c>
      <c r="F569" s="242">
        <f t="shared" si="55"/>
        <v>5733</v>
      </c>
      <c r="G569" s="274">
        <v>500</v>
      </c>
      <c r="H569" s="241" t="str">
        <f t="shared" si="62"/>
        <v xml:space="preserve">Elisha Special </v>
      </c>
      <c r="I569" s="241" t="s">
        <v>848</v>
      </c>
    </row>
    <row r="570" spans="1:9" ht="12.95" customHeight="1" x14ac:dyDescent="0.2">
      <c r="A570" s="274">
        <v>5734</v>
      </c>
      <c r="B570" s="241" t="str">
        <f t="shared" si="60"/>
        <v>YS</v>
      </c>
      <c r="C570" s="243" t="str">
        <f t="shared" si="59"/>
        <v/>
      </c>
      <c r="D570" s="275" t="s">
        <v>495</v>
      </c>
      <c r="E570" s="214" t="str">
        <f t="shared" si="61"/>
        <v>YS</v>
      </c>
      <c r="F570" s="242">
        <f t="shared" si="55"/>
        <v>5734</v>
      </c>
      <c r="G570" s="274">
        <v>500</v>
      </c>
      <c r="H570" s="241" t="str">
        <f t="shared" si="62"/>
        <v xml:space="preserve">Yabuki Special </v>
      </c>
      <c r="I570" s="241" t="s">
        <v>848</v>
      </c>
    </row>
    <row r="571" spans="1:9" ht="12.95" customHeight="1" x14ac:dyDescent="0.2">
      <c r="A571" s="274">
        <v>5735</v>
      </c>
      <c r="B571" s="241" t="str">
        <f t="shared" si="60"/>
        <v>YR</v>
      </c>
      <c r="C571" s="243" t="str">
        <f t="shared" si="59"/>
        <v/>
      </c>
      <c r="D571" s="275" t="s">
        <v>496</v>
      </c>
      <c r="E571" s="214" t="str">
        <f t="shared" si="61"/>
        <v>YR</v>
      </c>
      <c r="F571" s="242">
        <f t="shared" si="55"/>
        <v>5735</v>
      </c>
      <c r="G571" s="274">
        <v>500</v>
      </c>
      <c r="H571" s="241" t="str">
        <f t="shared" si="62"/>
        <v xml:space="preserve">Yabuki, Roy &amp; Lisa </v>
      </c>
      <c r="I571" s="241" t="s">
        <v>849</v>
      </c>
    </row>
    <row r="572" spans="1:9" ht="12.95" customHeight="1" x14ac:dyDescent="0.2">
      <c r="A572" s="274">
        <v>5736</v>
      </c>
      <c r="B572" s="241" t="str">
        <f t="shared" si="60"/>
        <v>LL</v>
      </c>
      <c r="C572" s="243" t="str">
        <f t="shared" si="59"/>
        <v/>
      </c>
      <c r="D572" s="275" t="s">
        <v>420</v>
      </c>
      <c r="E572" s="214" t="str">
        <f t="shared" si="61"/>
        <v>LL</v>
      </c>
      <c r="F572" s="242">
        <f t="shared" si="55"/>
        <v>5736</v>
      </c>
      <c r="G572" s="274">
        <v>500</v>
      </c>
      <c r="H572" s="241" t="str">
        <f t="shared" si="62"/>
        <v xml:space="preserve">Lin, Luisa &amp; David </v>
      </c>
      <c r="I572" s="241" t="s">
        <v>849</v>
      </c>
    </row>
    <row r="573" spans="1:9" ht="12.95" customHeight="1" x14ac:dyDescent="0.2">
      <c r="A573" s="274">
        <v>5737</v>
      </c>
      <c r="B573" s="241" t="str">
        <f t="shared" si="60"/>
        <v>MS</v>
      </c>
      <c r="C573" s="243" t="str">
        <f t="shared" si="59"/>
        <v/>
      </c>
      <c r="D573" s="275" t="s">
        <v>1091</v>
      </c>
      <c r="E573" s="214" t="str">
        <f t="shared" si="61"/>
        <v>MS</v>
      </c>
      <c r="F573" s="242">
        <f t="shared" si="55"/>
        <v>5737</v>
      </c>
      <c r="G573" s="274">
        <v>500</v>
      </c>
      <c r="H573" s="241" t="str">
        <f t="shared" si="62"/>
        <v xml:space="preserve">Menge, Sarah </v>
      </c>
      <c r="I573" s="241" t="s">
        <v>849</v>
      </c>
    </row>
    <row r="574" spans="1:9" ht="12.95" customHeight="1" x14ac:dyDescent="0.2">
      <c r="A574" s="274">
        <v>5738</v>
      </c>
      <c r="B574" s="241" t="str">
        <f t="shared" si="60"/>
        <v>CJ</v>
      </c>
      <c r="C574" s="243" t="str">
        <f t="shared" si="59"/>
        <v/>
      </c>
      <c r="D574" s="275" t="s">
        <v>1055</v>
      </c>
      <c r="E574" s="214" t="str">
        <f t="shared" si="61"/>
        <v>CJ</v>
      </c>
      <c r="F574" s="242">
        <f t="shared" si="55"/>
        <v>5738</v>
      </c>
      <c r="G574" s="274">
        <v>500</v>
      </c>
      <c r="H574" s="241" t="str">
        <f t="shared" si="62"/>
        <v xml:space="preserve">Camomile, James &amp; Lisa </v>
      </c>
      <c r="I574" s="241" t="s">
        <v>849</v>
      </c>
    </row>
    <row r="575" spans="1:9" ht="12.95" customHeight="1" x14ac:dyDescent="0.2">
      <c r="A575" s="274">
        <v>5740</v>
      </c>
      <c r="B575" s="241" t="str">
        <f t="shared" si="60"/>
        <v>LH</v>
      </c>
      <c r="C575" s="243" t="str">
        <f t="shared" si="59"/>
        <v/>
      </c>
      <c r="D575" s="275" t="s">
        <v>1059</v>
      </c>
      <c r="E575" s="214" t="str">
        <f t="shared" si="61"/>
        <v>LH</v>
      </c>
      <c r="F575" s="242">
        <f t="shared" si="55"/>
        <v>5740</v>
      </c>
      <c r="G575" s="274">
        <v>500</v>
      </c>
      <c r="H575" s="241" t="str">
        <f t="shared" si="62"/>
        <v xml:space="preserve">Lam, Hon </v>
      </c>
      <c r="I575" s="241" t="s">
        <v>849</v>
      </c>
    </row>
    <row r="576" spans="1:9" ht="12.95" customHeight="1" x14ac:dyDescent="0.2">
      <c r="A576" s="274">
        <v>5743</v>
      </c>
      <c r="B576" s="241" t="str">
        <f t="shared" si="60"/>
        <v>DL</v>
      </c>
      <c r="C576" s="243" t="str">
        <f t="shared" si="59"/>
        <v/>
      </c>
      <c r="D576" s="275" t="s">
        <v>1054</v>
      </c>
      <c r="E576" s="214" t="str">
        <f t="shared" si="61"/>
        <v>DL</v>
      </c>
      <c r="F576" s="242">
        <f t="shared" si="55"/>
        <v>5743</v>
      </c>
      <c r="G576" s="274">
        <v>500</v>
      </c>
      <c r="H576" s="241" t="str">
        <f t="shared" si="62"/>
        <v xml:space="preserve">Dodd, Lisa &amp; Chuck </v>
      </c>
      <c r="I576" s="241" t="s">
        <v>849</v>
      </c>
    </row>
    <row r="577" spans="1:9" ht="12.95" customHeight="1" x14ac:dyDescent="0.2">
      <c r="A577" s="274">
        <v>5744</v>
      </c>
      <c r="B577" s="241" t="str">
        <f t="shared" si="60"/>
        <v>FJ</v>
      </c>
      <c r="C577" s="243" t="str">
        <f t="shared" si="59"/>
        <v/>
      </c>
      <c r="D577" s="275" t="s">
        <v>216</v>
      </c>
      <c r="E577" s="214" t="str">
        <f t="shared" si="61"/>
        <v>FJ</v>
      </c>
      <c r="F577" s="242">
        <f t="shared" si="55"/>
        <v>5744</v>
      </c>
      <c r="G577" s="274">
        <v>500</v>
      </c>
      <c r="H577" s="241" t="str">
        <f t="shared" si="62"/>
        <v xml:space="preserve">Fife, Joan &amp; Eric </v>
      </c>
      <c r="I577" s="241" t="s">
        <v>849</v>
      </c>
    </row>
    <row r="578" spans="1:9" ht="12.95" customHeight="1" x14ac:dyDescent="0.2">
      <c r="A578" s="274">
        <v>5747</v>
      </c>
      <c r="B578" s="241" t="str">
        <f t="shared" si="60"/>
        <v>LT</v>
      </c>
      <c r="C578" s="243" t="str">
        <f t="shared" si="59"/>
        <v/>
      </c>
      <c r="D578" s="275" t="s">
        <v>1075</v>
      </c>
      <c r="E578" s="214" t="str">
        <f t="shared" si="61"/>
        <v>LT</v>
      </c>
      <c r="F578" s="242">
        <f t="shared" si="55"/>
        <v>5747</v>
      </c>
      <c r="G578" s="274">
        <v>500</v>
      </c>
      <c r="H578" s="241" t="str">
        <f t="shared" si="62"/>
        <v xml:space="preserve">Lasher, Trace </v>
      </c>
      <c r="I578" s="241" t="s">
        <v>849</v>
      </c>
    </row>
    <row r="579" spans="1:9" ht="12.95" customHeight="1" x14ac:dyDescent="0.2">
      <c r="A579" s="274">
        <v>5750</v>
      </c>
      <c r="B579" s="241" t="str">
        <f t="shared" si="60"/>
        <v>HS</v>
      </c>
      <c r="C579" s="243" t="str">
        <f t="shared" si="59"/>
        <v/>
      </c>
      <c r="D579" s="275" t="s">
        <v>1072</v>
      </c>
      <c r="E579" s="214" t="str">
        <f t="shared" si="61"/>
        <v>HS</v>
      </c>
      <c r="F579" s="242">
        <v>5750</v>
      </c>
      <c r="G579" s="274">
        <v>500</v>
      </c>
      <c r="H579" s="241" t="str">
        <f t="shared" si="62"/>
        <v xml:space="preserve">Herholz, Shaun &amp; Andreea </v>
      </c>
      <c r="I579" s="241" t="s">
        <v>849</v>
      </c>
    </row>
    <row r="580" spans="1:9" ht="12.95" customHeight="1" x14ac:dyDescent="0.2">
      <c r="A580" s="274">
        <v>5751</v>
      </c>
      <c r="B580" s="241" t="str">
        <f t="shared" si="60"/>
        <v>MR</v>
      </c>
      <c r="C580" s="243" t="str">
        <f t="shared" si="59"/>
        <v/>
      </c>
      <c r="D580" s="275" t="s">
        <v>439</v>
      </c>
      <c r="E580" s="214" t="str">
        <f t="shared" si="61"/>
        <v>MR</v>
      </c>
      <c r="F580" s="242">
        <f>A580</f>
        <v>5751</v>
      </c>
      <c r="G580" s="274">
        <v>500</v>
      </c>
      <c r="H580" s="241" t="str">
        <f t="shared" si="62"/>
        <v xml:space="preserve">Mills, Ron </v>
      </c>
      <c r="I580" s="241" t="s">
        <v>849</v>
      </c>
    </row>
    <row r="581" spans="1:9" ht="12.95" customHeight="1" x14ac:dyDescent="0.2">
      <c r="A581" s="274">
        <v>5752</v>
      </c>
      <c r="B581" s="241" t="str">
        <f t="shared" si="60"/>
        <v>MS</v>
      </c>
      <c r="C581" s="243" t="str">
        <f t="shared" si="59"/>
        <v/>
      </c>
      <c r="D581" s="275" t="s">
        <v>438</v>
      </c>
      <c r="E581" s="214" t="str">
        <f t="shared" si="61"/>
        <v>MS</v>
      </c>
      <c r="F581" s="242">
        <f>A581</f>
        <v>5752</v>
      </c>
      <c r="G581" s="274">
        <v>500</v>
      </c>
      <c r="H581" s="241" t="str">
        <f t="shared" si="62"/>
        <v xml:space="preserve">Mills Special </v>
      </c>
      <c r="I581" s="241" t="s">
        <v>848</v>
      </c>
    </row>
    <row r="582" spans="1:9" ht="12.95" customHeight="1" x14ac:dyDescent="0.2">
      <c r="A582" s="274">
        <v>5754</v>
      </c>
      <c r="B582" s="241" t="str">
        <f t="shared" si="60"/>
        <v>SJ</v>
      </c>
      <c r="C582" s="243" t="str">
        <f t="shared" si="59"/>
        <v/>
      </c>
      <c r="D582" s="275" t="s">
        <v>929</v>
      </c>
      <c r="E582" s="214" t="str">
        <f t="shared" si="61"/>
        <v>SJ</v>
      </c>
      <c r="F582" s="242">
        <f>A582</f>
        <v>5754</v>
      </c>
      <c r="G582" s="274">
        <v>500</v>
      </c>
      <c r="H582" s="241" t="str">
        <f t="shared" si="62"/>
        <v xml:space="preserve">Stark, James [Alex] </v>
      </c>
      <c r="I582" s="241" t="s">
        <v>849</v>
      </c>
    </row>
    <row r="583" spans="1:9" ht="12.95" customHeight="1" x14ac:dyDescent="0.2">
      <c r="A583" s="274">
        <v>5755</v>
      </c>
      <c r="B583" s="241" t="str">
        <f t="shared" si="60"/>
        <v>HL</v>
      </c>
      <c r="C583" s="243" t="str">
        <f t="shared" si="59"/>
        <v/>
      </c>
      <c r="D583" s="275" t="s">
        <v>1071</v>
      </c>
      <c r="E583" s="214" t="str">
        <f t="shared" si="61"/>
        <v>HL</v>
      </c>
      <c r="F583" s="242">
        <v>5755</v>
      </c>
      <c r="G583" s="274">
        <v>500</v>
      </c>
      <c r="H583" s="241" t="str">
        <f t="shared" si="62"/>
        <v xml:space="preserve">Holbrook, Lon &amp; Courtney </v>
      </c>
      <c r="I583" s="241" t="s">
        <v>849</v>
      </c>
    </row>
    <row r="584" spans="1:9" ht="12.95" customHeight="1" x14ac:dyDescent="0.2">
      <c r="A584" s="274">
        <f>F584</f>
        <v>5757</v>
      </c>
      <c r="B584" s="241" t="str">
        <f t="shared" si="60"/>
        <v>SC</v>
      </c>
      <c r="C584" s="243" t="str">
        <f t="shared" si="59"/>
        <v/>
      </c>
      <c r="D584" s="275" t="s">
        <v>1063</v>
      </c>
      <c r="E584" s="214" t="str">
        <f t="shared" si="61"/>
        <v>SC</v>
      </c>
      <c r="F584" s="242">
        <v>5757</v>
      </c>
      <c r="G584" s="274">
        <v>500</v>
      </c>
      <c r="H584" s="241" t="str">
        <f t="shared" si="62"/>
        <v xml:space="preserve">Seger, Christine </v>
      </c>
      <c r="I584" s="241" t="s">
        <v>849</v>
      </c>
    </row>
    <row r="585" spans="1:9" ht="12.95" customHeight="1" x14ac:dyDescent="0.2">
      <c r="A585" s="274">
        <v>5759</v>
      </c>
      <c r="B585" s="241" t="str">
        <f t="shared" si="60"/>
        <v>HJ</v>
      </c>
      <c r="C585" s="243" t="str">
        <f t="shared" si="59"/>
        <v/>
      </c>
      <c r="D585" s="275" t="s">
        <v>1062</v>
      </c>
      <c r="E585" s="214" t="str">
        <f t="shared" si="61"/>
        <v>HJ</v>
      </c>
      <c r="F585" s="242">
        <v>5759</v>
      </c>
      <c r="G585" s="274">
        <v>500</v>
      </c>
      <c r="H585" s="241" t="str">
        <f t="shared" si="62"/>
        <v xml:space="preserve">Harms, Joseph </v>
      </c>
      <c r="I585" s="241" t="s">
        <v>849</v>
      </c>
    </row>
    <row r="586" spans="1:9" ht="12.95" customHeight="1" x14ac:dyDescent="0.2">
      <c r="A586" s="274">
        <v>5760</v>
      </c>
      <c r="B586" s="241" t="str">
        <f t="shared" si="60"/>
        <v>SF</v>
      </c>
      <c r="C586" s="243" t="str">
        <f t="shared" si="59"/>
        <v>Germann</v>
      </c>
      <c r="D586" s="275" t="s">
        <v>760</v>
      </c>
      <c r="E586" s="214" t="str">
        <f t="shared" si="61"/>
        <v>SF</v>
      </c>
      <c r="F586" s="242">
        <f t="shared" ref="F586:F591" si="63">A586</f>
        <v>5760</v>
      </c>
      <c r="G586" s="274">
        <v>500</v>
      </c>
      <c r="H586" s="241" t="str">
        <f t="shared" si="62"/>
        <v xml:space="preserve">South Florida Ops </v>
      </c>
      <c r="I586" s="241" t="s">
        <v>847</v>
      </c>
    </row>
    <row r="587" spans="1:9" ht="12.95" customHeight="1" x14ac:dyDescent="0.2">
      <c r="A587" s="274">
        <v>5761</v>
      </c>
      <c r="B587" s="241" t="str">
        <f t="shared" si="60"/>
        <v>SF</v>
      </c>
      <c r="C587" s="243" t="str">
        <f t="shared" si="59"/>
        <v>Germann</v>
      </c>
      <c r="D587" s="275" t="s">
        <v>761</v>
      </c>
      <c r="E587" s="214" t="str">
        <f t="shared" si="61"/>
        <v>SF</v>
      </c>
      <c r="F587" s="242">
        <f t="shared" si="63"/>
        <v>5761</v>
      </c>
      <c r="G587" s="274">
        <v>500</v>
      </c>
      <c r="H587" s="241" t="str">
        <f t="shared" si="62"/>
        <v xml:space="preserve">South Florida Events </v>
      </c>
      <c r="I587" s="241" t="s">
        <v>847</v>
      </c>
    </row>
    <row r="588" spans="1:9" ht="12.95" customHeight="1" x14ac:dyDescent="0.2">
      <c r="A588" s="274">
        <v>5763</v>
      </c>
      <c r="B588" s="241" t="str">
        <f t="shared" si="60"/>
        <v>HS</v>
      </c>
      <c r="C588" s="243" t="str">
        <f t="shared" si="59"/>
        <v/>
      </c>
      <c r="D588" s="275" t="s">
        <v>1060</v>
      </c>
      <c r="E588" s="214" t="str">
        <f t="shared" si="61"/>
        <v>HS</v>
      </c>
      <c r="F588" s="242">
        <f t="shared" si="63"/>
        <v>5763</v>
      </c>
      <c r="G588" s="274">
        <v>500</v>
      </c>
      <c r="H588" s="241" t="str">
        <f t="shared" si="62"/>
        <v xml:space="preserve">Halferty, Sarah </v>
      </c>
      <c r="I588" s="241" t="s">
        <v>849</v>
      </c>
    </row>
    <row r="589" spans="1:9" ht="12.95" customHeight="1" x14ac:dyDescent="0.2">
      <c r="A589" s="274">
        <v>5764</v>
      </c>
      <c r="B589" s="241" t="str">
        <f t="shared" si="60"/>
        <v>AN</v>
      </c>
      <c r="C589" s="243" t="str">
        <f t="shared" si="59"/>
        <v/>
      </c>
      <c r="D589" s="275" t="s">
        <v>302</v>
      </c>
      <c r="E589" s="214" t="str">
        <f t="shared" si="61"/>
        <v>AN</v>
      </c>
      <c r="F589" s="242">
        <f t="shared" si="63"/>
        <v>5764</v>
      </c>
      <c r="G589" s="274">
        <v>500</v>
      </c>
      <c r="H589" s="241" t="str">
        <f t="shared" si="62"/>
        <v xml:space="preserve">Allen, Norm </v>
      </c>
      <c r="I589" s="241" t="s">
        <v>849</v>
      </c>
    </row>
    <row r="590" spans="1:9" ht="12.95" customHeight="1" x14ac:dyDescent="0.2">
      <c r="A590" s="274">
        <v>5768</v>
      </c>
      <c r="B590" s="241" t="str">
        <f t="shared" si="60"/>
        <v>ST</v>
      </c>
      <c r="C590" s="243" t="str">
        <f t="shared" si="59"/>
        <v/>
      </c>
      <c r="D590" s="275" t="s">
        <v>257</v>
      </c>
      <c r="E590" s="214" t="str">
        <f t="shared" si="61"/>
        <v>ST</v>
      </c>
      <c r="F590" s="242">
        <f t="shared" si="63"/>
        <v>5768</v>
      </c>
      <c r="G590" s="274">
        <v>500</v>
      </c>
      <c r="H590" s="241" t="str">
        <f t="shared" si="62"/>
        <v xml:space="preserve">Saur, Ted &amp; Denise </v>
      </c>
      <c r="I590" s="241" t="s">
        <v>849</v>
      </c>
    </row>
    <row r="591" spans="1:9" ht="12.95" customHeight="1" x14ac:dyDescent="0.2">
      <c r="A591" s="274">
        <v>5770</v>
      </c>
      <c r="B591" s="241" t="str">
        <f t="shared" si="60"/>
        <v>KC</v>
      </c>
      <c r="C591" s="243" t="str">
        <f t="shared" si="59"/>
        <v>Douglas</v>
      </c>
      <c r="D591" s="275" t="s">
        <v>762</v>
      </c>
      <c r="E591" s="214" t="str">
        <f t="shared" si="61"/>
        <v>KC</v>
      </c>
      <c r="F591" s="242">
        <f t="shared" si="63"/>
        <v>5770</v>
      </c>
      <c r="G591" s="274">
        <v>500</v>
      </c>
      <c r="H591" s="241" t="str">
        <f t="shared" si="62"/>
        <v xml:space="preserve">Kansas City Area Scholarships </v>
      </c>
      <c r="I591" s="241" t="s">
        <v>847</v>
      </c>
    </row>
    <row r="592" spans="1:9" ht="12.95" customHeight="1" x14ac:dyDescent="0.2">
      <c r="A592" s="274">
        <v>5772</v>
      </c>
      <c r="B592" s="241" t="str">
        <f t="shared" si="60"/>
        <v>WL</v>
      </c>
      <c r="C592" s="243" t="str">
        <f t="shared" si="59"/>
        <v/>
      </c>
      <c r="D592" s="275" t="s">
        <v>1073</v>
      </c>
      <c r="E592" s="214" t="str">
        <f t="shared" si="61"/>
        <v>WL</v>
      </c>
      <c r="F592" s="242">
        <v>5772</v>
      </c>
      <c r="G592" s="274">
        <v>500</v>
      </c>
      <c r="H592" s="241" t="str">
        <f t="shared" si="62"/>
        <v xml:space="preserve">Watson, Luke &amp; Maude </v>
      </c>
      <c r="I592" s="241" t="s">
        <v>849</v>
      </c>
    </row>
    <row r="593" spans="1:9" ht="12.95" customHeight="1" x14ac:dyDescent="0.2">
      <c r="A593" s="274">
        <v>5773</v>
      </c>
      <c r="B593" s="241" t="str">
        <f t="shared" si="60"/>
        <v>SJ</v>
      </c>
      <c r="C593" s="243" t="str">
        <f t="shared" si="59"/>
        <v/>
      </c>
      <c r="D593" s="275" t="s">
        <v>1069</v>
      </c>
      <c r="E593" s="214" t="str">
        <f t="shared" si="61"/>
        <v>SJ</v>
      </c>
      <c r="F593" s="242">
        <f t="shared" ref="F593:F601" si="64">A593</f>
        <v>5773</v>
      </c>
      <c r="G593" s="274">
        <v>500</v>
      </c>
      <c r="H593" s="241" t="str">
        <f t="shared" si="62"/>
        <v xml:space="preserve">Simpson, Jim &amp; Chloe </v>
      </c>
      <c r="I593" s="241" t="s">
        <v>849</v>
      </c>
    </row>
    <row r="594" spans="1:9" ht="12.95" customHeight="1" x14ac:dyDescent="0.2">
      <c r="A594" s="274">
        <v>5774</v>
      </c>
      <c r="B594" s="241" t="str">
        <f t="shared" si="60"/>
        <v>MK</v>
      </c>
      <c r="C594" s="243" t="str">
        <f t="shared" si="59"/>
        <v/>
      </c>
      <c r="D594" s="275" t="s">
        <v>431</v>
      </c>
      <c r="E594" s="214" t="str">
        <f t="shared" si="61"/>
        <v>MK</v>
      </c>
      <c r="F594" s="242">
        <f t="shared" si="64"/>
        <v>5774</v>
      </c>
      <c r="G594" s="274">
        <v>500</v>
      </c>
      <c r="H594" s="241" t="str">
        <f t="shared" si="62"/>
        <v xml:space="preserve">Marshall, Kent &amp; Judy </v>
      </c>
      <c r="I594" s="241" t="s">
        <v>849</v>
      </c>
    </row>
    <row r="595" spans="1:9" ht="12.95" customHeight="1" x14ac:dyDescent="0.2">
      <c r="A595" s="274">
        <v>5775</v>
      </c>
      <c r="B595" s="241" t="str">
        <f t="shared" si="60"/>
        <v>MS</v>
      </c>
      <c r="C595" s="243" t="str">
        <f t="shared" si="59"/>
        <v/>
      </c>
      <c r="D595" s="275" t="s">
        <v>239</v>
      </c>
      <c r="E595" s="214" t="str">
        <f t="shared" si="61"/>
        <v>MS</v>
      </c>
      <c r="F595" s="242">
        <f t="shared" si="64"/>
        <v>5775</v>
      </c>
      <c r="G595" s="274">
        <v>500</v>
      </c>
      <c r="H595" s="241" t="str">
        <f t="shared" si="62"/>
        <v xml:space="preserve">Marshall Special </v>
      </c>
      <c r="I595" s="241" t="s">
        <v>848</v>
      </c>
    </row>
    <row r="596" spans="1:9" ht="12.95" customHeight="1" x14ac:dyDescent="0.2">
      <c r="A596" s="274">
        <v>5776</v>
      </c>
      <c r="B596" s="241" t="str">
        <f t="shared" si="60"/>
        <v>BR</v>
      </c>
      <c r="C596" s="243" t="str">
        <f t="shared" si="59"/>
        <v/>
      </c>
      <c r="D596" s="275" t="s">
        <v>322</v>
      </c>
      <c r="E596" s="214" t="str">
        <f t="shared" si="61"/>
        <v>BR</v>
      </c>
      <c r="F596" s="242">
        <f t="shared" si="64"/>
        <v>5776</v>
      </c>
      <c r="G596" s="274">
        <v>500</v>
      </c>
      <c r="H596" s="241" t="str">
        <f t="shared" si="62"/>
        <v xml:space="preserve">Bunyard, Ronald </v>
      </c>
      <c r="I596" s="241" t="s">
        <v>849</v>
      </c>
    </row>
    <row r="597" spans="1:9" ht="12.95" customHeight="1" x14ac:dyDescent="0.2">
      <c r="A597" s="274">
        <v>5777</v>
      </c>
      <c r="B597" s="241" t="str">
        <f t="shared" si="60"/>
        <v>BJ</v>
      </c>
      <c r="C597" s="243" t="str">
        <f t="shared" si="59"/>
        <v/>
      </c>
      <c r="D597" s="275" t="s">
        <v>311</v>
      </c>
      <c r="E597" s="214" t="str">
        <f t="shared" si="61"/>
        <v>BJ</v>
      </c>
      <c r="F597" s="242">
        <f t="shared" si="64"/>
        <v>5777</v>
      </c>
      <c r="G597" s="274">
        <v>500</v>
      </c>
      <c r="H597" s="241" t="str">
        <f t="shared" si="62"/>
        <v xml:space="preserve">Becker, Judith </v>
      </c>
      <c r="I597" s="241" t="s">
        <v>849</v>
      </c>
    </row>
    <row r="598" spans="1:9" ht="12.95" customHeight="1" x14ac:dyDescent="0.2">
      <c r="A598" s="274">
        <v>5779</v>
      </c>
      <c r="B598" s="241" t="str">
        <f t="shared" si="60"/>
        <v>BS</v>
      </c>
      <c r="C598" s="243" t="str">
        <f t="shared" si="59"/>
        <v/>
      </c>
      <c r="D598" s="275" t="s">
        <v>193</v>
      </c>
      <c r="E598" s="214" t="str">
        <f t="shared" si="61"/>
        <v>BS</v>
      </c>
      <c r="F598" s="242">
        <f t="shared" si="64"/>
        <v>5779</v>
      </c>
      <c r="G598" s="274">
        <v>500</v>
      </c>
      <c r="H598" s="241" t="str">
        <f t="shared" si="62"/>
        <v xml:space="preserve">Becker Special </v>
      </c>
      <c r="I598" s="241" t="s">
        <v>848</v>
      </c>
    </row>
    <row r="599" spans="1:9" ht="12.95" customHeight="1" x14ac:dyDescent="0.2">
      <c r="A599" s="274">
        <v>5781</v>
      </c>
      <c r="B599" s="241" t="str">
        <f t="shared" si="60"/>
        <v>ZY</v>
      </c>
      <c r="C599" s="243" t="str">
        <f t="shared" si="59"/>
        <v/>
      </c>
      <c r="D599" s="275" t="s">
        <v>279</v>
      </c>
      <c r="E599" s="214" t="str">
        <f t="shared" si="61"/>
        <v>ZY</v>
      </c>
      <c r="F599" s="242">
        <f t="shared" si="64"/>
        <v>5781</v>
      </c>
      <c r="G599" s="274">
        <v>500</v>
      </c>
      <c r="H599" s="241" t="str">
        <f t="shared" si="62"/>
        <v xml:space="preserve">Zhao, Yun-Juan </v>
      </c>
      <c r="I599" s="241" t="s">
        <v>849</v>
      </c>
    </row>
    <row r="600" spans="1:9" ht="12.95" customHeight="1" x14ac:dyDescent="0.2">
      <c r="A600" s="274">
        <v>5782</v>
      </c>
      <c r="B600" s="241" t="str">
        <f t="shared" si="60"/>
        <v>TA</v>
      </c>
      <c r="C600" s="243" t="str">
        <f t="shared" si="59"/>
        <v>Crowell</v>
      </c>
      <c r="D600" s="275" t="s">
        <v>930</v>
      </c>
      <c r="E600" s="214" t="str">
        <f t="shared" si="61"/>
        <v>TA</v>
      </c>
      <c r="F600" s="242">
        <f t="shared" si="64"/>
        <v>5782</v>
      </c>
      <c r="G600" s="274">
        <v>500</v>
      </c>
      <c r="H600" s="241" t="str">
        <f t="shared" si="62"/>
        <v xml:space="preserve">Tuscan AZ </v>
      </c>
      <c r="I600" s="241" t="s">
        <v>847</v>
      </c>
    </row>
    <row r="601" spans="1:9" ht="12.95" customHeight="1" x14ac:dyDescent="0.2">
      <c r="A601" s="274">
        <v>5783</v>
      </c>
      <c r="B601" s="241" t="str">
        <f t="shared" si="60"/>
        <v>JD</v>
      </c>
      <c r="C601" s="243" t="str">
        <f t="shared" si="59"/>
        <v/>
      </c>
      <c r="D601" s="275" t="s">
        <v>396</v>
      </c>
      <c r="E601" s="214" t="str">
        <f t="shared" si="61"/>
        <v>JD</v>
      </c>
      <c r="F601" s="242">
        <f t="shared" si="64"/>
        <v>5783</v>
      </c>
      <c r="G601" s="274">
        <v>500</v>
      </c>
      <c r="H601" s="241" t="str">
        <f t="shared" si="62"/>
        <v xml:space="preserve">Jackson, Derrah &amp; Pam </v>
      </c>
      <c r="I601" s="241" t="s">
        <v>849</v>
      </c>
    </row>
    <row r="602" spans="1:9" ht="12.95" customHeight="1" x14ac:dyDescent="0.2">
      <c r="A602" s="274">
        <v>5784</v>
      </c>
      <c r="B602" s="241" t="str">
        <f t="shared" si="60"/>
        <v>CA</v>
      </c>
      <c r="C602" s="243" t="str">
        <f t="shared" si="59"/>
        <v/>
      </c>
      <c r="D602" s="275" t="s">
        <v>1065</v>
      </c>
      <c r="E602" s="214" t="str">
        <f t="shared" si="61"/>
        <v>CA</v>
      </c>
      <c r="F602" s="242">
        <v>5784</v>
      </c>
      <c r="G602" s="274">
        <v>500</v>
      </c>
      <c r="H602" s="241" t="str">
        <f t="shared" si="62"/>
        <v xml:space="preserve">Caddell, Angela </v>
      </c>
      <c r="I602" s="241" t="s">
        <v>849</v>
      </c>
    </row>
    <row r="603" spans="1:9" ht="12.95" customHeight="1" x14ac:dyDescent="0.2">
      <c r="A603" s="274">
        <v>5786</v>
      </c>
      <c r="B603" s="241" t="str">
        <f t="shared" si="60"/>
        <v>KS</v>
      </c>
      <c r="C603" s="243" t="str">
        <f t="shared" si="59"/>
        <v/>
      </c>
      <c r="D603" s="275" t="s">
        <v>409</v>
      </c>
      <c r="E603" s="214" t="str">
        <f t="shared" si="61"/>
        <v>KS</v>
      </c>
      <c r="F603" s="242">
        <f t="shared" ref="F603:F634" si="65">A603</f>
        <v>5786</v>
      </c>
      <c r="G603" s="274">
        <v>500</v>
      </c>
      <c r="H603" s="241" t="str">
        <f t="shared" si="62"/>
        <v xml:space="preserve">Krehbiel Special </v>
      </c>
      <c r="I603" s="241" t="s">
        <v>848</v>
      </c>
    </row>
    <row r="604" spans="1:9" ht="12.95" customHeight="1" x14ac:dyDescent="0.2">
      <c r="A604" s="274">
        <v>5787</v>
      </c>
      <c r="B604" s="241" t="str">
        <f t="shared" si="60"/>
        <v>DC</v>
      </c>
      <c r="C604" s="243" t="str">
        <f t="shared" si="59"/>
        <v/>
      </c>
      <c r="D604" s="275" t="s">
        <v>346</v>
      </c>
      <c r="E604" s="214" t="str">
        <f t="shared" si="61"/>
        <v>DC</v>
      </c>
      <c r="F604" s="242">
        <f t="shared" si="65"/>
        <v>5787</v>
      </c>
      <c r="G604" s="274">
        <v>500</v>
      </c>
      <c r="H604" s="241" t="str">
        <f t="shared" si="62"/>
        <v xml:space="preserve">DePalatis, Carolyn </v>
      </c>
      <c r="I604" s="241" t="s">
        <v>849</v>
      </c>
    </row>
    <row r="605" spans="1:9" ht="12.95" customHeight="1" x14ac:dyDescent="0.2">
      <c r="A605" s="274">
        <v>5788</v>
      </c>
      <c r="B605" s="241" t="str">
        <f t="shared" si="60"/>
        <v>DS</v>
      </c>
      <c r="C605" s="243" t="str">
        <f t="shared" si="59"/>
        <v/>
      </c>
      <c r="D605" s="275" t="s">
        <v>211</v>
      </c>
      <c r="E605" s="214" t="str">
        <f t="shared" si="61"/>
        <v>DS</v>
      </c>
      <c r="F605" s="242">
        <f t="shared" si="65"/>
        <v>5788</v>
      </c>
      <c r="G605" s="274">
        <v>500</v>
      </c>
      <c r="H605" s="241" t="str">
        <f t="shared" si="62"/>
        <v xml:space="preserve">Depalatis Special </v>
      </c>
      <c r="I605" s="241" t="s">
        <v>848</v>
      </c>
    </row>
    <row r="606" spans="1:9" ht="12.95" customHeight="1" x14ac:dyDescent="0.2">
      <c r="A606" s="274">
        <v>5789</v>
      </c>
      <c r="B606" s="241" t="str">
        <f t="shared" si="60"/>
        <v>WS</v>
      </c>
      <c r="C606" s="243" t="str">
        <f t="shared" si="59"/>
        <v/>
      </c>
      <c r="D606" s="275" t="s">
        <v>488</v>
      </c>
      <c r="E606" s="214" t="str">
        <f t="shared" si="61"/>
        <v>WS</v>
      </c>
      <c r="F606" s="242">
        <f t="shared" si="65"/>
        <v>5789</v>
      </c>
      <c r="G606" s="274">
        <v>500</v>
      </c>
      <c r="H606" s="241" t="str">
        <f t="shared" si="62"/>
        <v xml:space="preserve">Webster Special Fund </v>
      </c>
      <c r="I606" s="241" t="s">
        <v>848</v>
      </c>
    </row>
    <row r="607" spans="1:9" ht="12.95" customHeight="1" x14ac:dyDescent="0.2">
      <c r="A607" s="274">
        <v>5791</v>
      </c>
      <c r="B607" s="241" t="str">
        <f t="shared" si="60"/>
        <v>S-</v>
      </c>
      <c r="C607" s="243" t="str">
        <f t="shared" si="59"/>
        <v/>
      </c>
      <c r="D607" s="275" t="s">
        <v>267</v>
      </c>
      <c r="E607" s="214" t="str">
        <f t="shared" si="61"/>
        <v>S-</v>
      </c>
      <c r="F607" s="242">
        <f t="shared" si="65"/>
        <v>5791</v>
      </c>
      <c r="G607" s="274">
        <v>500</v>
      </c>
      <c r="H607" s="241" t="str">
        <f t="shared" si="62"/>
        <v xml:space="preserve">Swastek - Special </v>
      </c>
      <c r="I607" s="241" t="s">
        <v>848</v>
      </c>
    </row>
    <row r="608" spans="1:9" ht="12.95" customHeight="1" x14ac:dyDescent="0.2">
      <c r="A608" s="274">
        <v>5792</v>
      </c>
      <c r="B608" s="241" t="str">
        <f t="shared" si="60"/>
        <v>MB</v>
      </c>
      <c r="C608" s="243" t="str">
        <f t="shared" si="59"/>
        <v/>
      </c>
      <c r="D608" s="275" t="s">
        <v>242</v>
      </c>
      <c r="E608" s="214" t="str">
        <f t="shared" si="61"/>
        <v>MB</v>
      </c>
      <c r="F608" s="242">
        <f t="shared" si="65"/>
        <v>5792</v>
      </c>
      <c r="G608" s="274">
        <v>500</v>
      </c>
      <c r="H608" s="241" t="str">
        <f t="shared" si="62"/>
        <v xml:space="preserve">Mitchell, Bill </v>
      </c>
      <c r="I608" s="241" t="s">
        <v>849</v>
      </c>
    </row>
    <row r="609" spans="1:9" ht="12.95" customHeight="1" x14ac:dyDescent="0.2">
      <c r="A609" s="274">
        <v>5793</v>
      </c>
      <c r="B609" s="241" t="str">
        <f t="shared" si="60"/>
        <v>ZS</v>
      </c>
      <c r="C609" s="243" t="str">
        <f t="shared" si="59"/>
        <v/>
      </c>
      <c r="D609" s="275" t="s">
        <v>499</v>
      </c>
      <c r="E609" s="214" t="str">
        <f t="shared" si="61"/>
        <v>ZS</v>
      </c>
      <c r="F609" s="242">
        <f t="shared" si="65"/>
        <v>5793</v>
      </c>
      <c r="G609" s="274">
        <v>500</v>
      </c>
      <c r="H609" s="241" t="str">
        <f t="shared" si="62"/>
        <v xml:space="preserve">Zeigler, Simon &amp; Becky </v>
      </c>
      <c r="I609" s="241" t="s">
        <v>849</v>
      </c>
    </row>
    <row r="610" spans="1:9" ht="12.95" customHeight="1" x14ac:dyDescent="0.2">
      <c r="A610" s="274">
        <v>5794</v>
      </c>
      <c r="B610" s="241" t="str">
        <f t="shared" si="60"/>
        <v>KD</v>
      </c>
      <c r="C610" s="243" t="str">
        <f t="shared" si="59"/>
        <v/>
      </c>
      <c r="D610" s="275" t="s">
        <v>410</v>
      </c>
      <c r="E610" s="214" t="str">
        <f t="shared" si="61"/>
        <v>KD</v>
      </c>
      <c r="F610" s="242">
        <f t="shared" si="65"/>
        <v>5794</v>
      </c>
      <c r="G610" s="274">
        <v>500</v>
      </c>
      <c r="H610" s="241" t="str">
        <f t="shared" si="62"/>
        <v xml:space="preserve">Krehbiel, Dave </v>
      </c>
      <c r="I610" s="241" t="s">
        <v>849</v>
      </c>
    </row>
    <row r="611" spans="1:9" ht="12.95" customHeight="1" x14ac:dyDescent="0.2">
      <c r="A611" s="274">
        <v>5795</v>
      </c>
      <c r="B611" s="241" t="str">
        <f t="shared" si="60"/>
        <v>WE</v>
      </c>
      <c r="C611" s="243" t="str">
        <f t="shared" si="59"/>
        <v/>
      </c>
      <c r="D611" s="275" t="s">
        <v>763</v>
      </c>
      <c r="E611" s="214" t="str">
        <f t="shared" si="61"/>
        <v>WE</v>
      </c>
      <c r="F611" s="242">
        <f t="shared" si="65"/>
        <v>5795</v>
      </c>
      <c r="G611" s="274">
        <v>500</v>
      </c>
      <c r="H611" s="241" t="str">
        <f t="shared" si="62"/>
        <v xml:space="preserve">Webster, Erna </v>
      </c>
      <c r="I611" s="241" t="s">
        <v>849</v>
      </c>
    </row>
    <row r="612" spans="1:9" ht="12.95" customHeight="1" x14ac:dyDescent="0.2">
      <c r="A612" s="274">
        <v>5797</v>
      </c>
      <c r="B612" s="241" t="str">
        <f t="shared" si="60"/>
        <v>HC</v>
      </c>
      <c r="C612" s="243" t="str">
        <f t="shared" si="59"/>
        <v>Yabuki</v>
      </c>
      <c r="D612" s="275" t="s">
        <v>974</v>
      </c>
      <c r="E612" s="214" t="str">
        <f t="shared" si="61"/>
        <v>HC</v>
      </c>
      <c r="F612" s="242">
        <f t="shared" si="65"/>
        <v>5797</v>
      </c>
      <c r="G612" s="274">
        <v>500</v>
      </c>
      <c r="H612" s="241" t="str">
        <f t="shared" si="62"/>
        <v xml:space="preserve">Houston City </v>
      </c>
      <c r="I612" s="241" t="s">
        <v>847</v>
      </c>
    </row>
    <row r="613" spans="1:9" ht="12.95" customHeight="1" x14ac:dyDescent="0.2">
      <c r="A613" s="274">
        <v>5798</v>
      </c>
      <c r="B613" s="241" t="str">
        <f t="shared" si="60"/>
        <v>HE</v>
      </c>
      <c r="C613" s="243" t="str">
        <f t="shared" si="59"/>
        <v>Yabuki</v>
      </c>
      <c r="D613" s="275" t="s">
        <v>975</v>
      </c>
      <c r="E613" s="214" t="str">
        <f t="shared" si="61"/>
        <v>HE</v>
      </c>
      <c r="F613" s="242">
        <f t="shared" si="65"/>
        <v>5798</v>
      </c>
      <c r="G613" s="274">
        <v>500</v>
      </c>
      <c r="H613" s="241" t="str">
        <f t="shared" si="62"/>
        <v xml:space="preserve">Houston Events </v>
      </c>
      <c r="I613" s="241" t="s">
        <v>847</v>
      </c>
    </row>
    <row r="614" spans="1:9" ht="12.95" customHeight="1" x14ac:dyDescent="0.2">
      <c r="A614" s="274">
        <v>5799</v>
      </c>
      <c r="B614" s="241" t="str">
        <f t="shared" si="60"/>
        <v>BS</v>
      </c>
      <c r="C614" s="243" t="str">
        <f t="shared" si="59"/>
        <v>Hope</v>
      </c>
      <c r="D614" s="275" t="s">
        <v>970</v>
      </c>
      <c r="E614" s="214" t="str">
        <f t="shared" si="61"/>
        <v>BS</v>
      </c>
      <c r="F614" s="242">
        <f t="shared" si="65"/>
        <v>5799</v>
      </c>
      <c r="G614" s="274">
        <v>500</v>
      </c>
      <c r="H614" s="241" t="str">
        <f t="shared" si="62"/>
        <v xml:space="preserve">Boston Student Activity </v>
      </c>
      <c r="I614" s="241" t="s">
        <v>847</v>
      </c>
    </row>
    <row r="615" spans="1:9" ht="12.95" customHeight="1" x14ac:dyDescent="0.2">
      <c r="A615" s="274">
        <v>5800</v>
      </c>
      <c r="B615" s="241" t="str">
        <f t="shared" si="60"/>
        <v>AA</v>
      </c>
      <c r="C615" s="243" t="str">
        <f t="shared" si="59"/>
        <v>Champoux</v>
      </c>
      <c r="D615" s="275" t="s">
        <v>931</v>
      </c>
      <c r="E615" s="214" t="str">
        <f t="shared" si="61"/>
        <v>AA</v>
      </c>
      <c r="F615" s="242">
        <f t="shared" si="65"/>
        <v>5800</v>
      </c>
      <c r="G615" s="274">
        <v>500</v>
      </c>
      <c r="H615" s="241" t="str">
        <f t="shared" si="62"/>
        <v xml:space="preserve">Ann Arbor Bible  </v>
      </c>
      <c r="I615" s="241" t="s">
        <v>847</v>
      </c>
    </row>
    <row r="616" spans="1:9" ht="12.95" customHeight="1" x14ac:dyDescent="0.2">
      <c r="A616" s="274">
        <v>5801</v>
      </c>
      <c r="B616" s="241" t="str">
        <f t="shared" si="60"/>
        <v>AA</v>
      </c>
      <c r="C616" s="243" t="str">
        <f t="shared" si="59"/>
        <v>Champoux</v>
      </c>
      <c r="D616" s="275" t="s">
        <v>971</v>
      </c>
      <c r="E616" s="214" t="str">
        <f t="shared" si="61"/>
        <v>AA</v>
      </c>
      <c r="F616" s="242">
        <f t="shared" si="65"/>
        <v>5801</v>
      </c>
      <c r="G616" s="274">
        <v>500</v>
      </c>
      <c r="H616" s="241" t="str">
        <f t="shared" si="62"/>
        <v xml:space="preserve">Ann Arbor </v>
      </c>
      <c r="I616" s="241" t="s">
        <v>847</v>
      </c>
    </row>
    <row r="617" spans="1:9" ht="12.95" customHeight="1" x14ac:dyDescent="0.2">
      <c r="A617" s="274">
        <v>5802</v>
      </c>
      <c r="B617" s="241" t="str">
        <f t="shared" si="60"/>
        <v>AI</v>
      </c>
      <c r="C617" s="243" t="str">
        <f t="shared" si="59"/>
        <v>Hansen</v>
      </c>
      <c r="D617" s="275" t="s">
        <v>305</v>
      </c>
      <c r="E617" s="214" t="str">
        <f t="shared" si="61"/>
        <v>AI</v>
      </c>
      <c r="F617" s="242">
        <f t="shared" si="65"/>
        <v>5802</v>
      </c>
      <c r="G617" s="274">
        <v>500</v>
      </c>
      <c r="H617" s="241" t="str">
        <f t="shared" si="62"/>
        <v xml:space="preserve">Ames, IA </v>
      </c>
      <c r="I617" s="241" t="s">
        <v>847</v>
      </c>
    </row>
    <row r="618" spans="1:9" ht="12.95" customHeight="1" x14ac:dyDescent="0.2">
      <c r="A618" s="274">
        <v>5803</v>
      </c>
      <c r="B618" s="241" t="str">
        <f t="shared" si="60"/>
        <v>SW</v>
      </c>
      <c r="C618" s="243" t="str">
        <f t="shared" si="59"/>
        <v>Zeigler</v>
      </c>
      <c r="D618" s="275" t="s">
        <v>972</v>
      </c>
      <c r="E618" s="214" t="str">
        <f t="shared" si="61"/>
        <v>SW</v>
      </c>
      <c r="F618" s="242">
        <f t="shared" si="65"/>
        <v>5803</v>
      </c>
      <c r="G618" s="274">
        <v>500</v>
      </c>
      <c r="H618" s="241" t="str">
        <f t="shared" si="62"/>
        <v xml:space="preserve">Spokane, WA </v>
      </c>
      <c r="I618" s="241" t="s">
        <v>847</v>
      </c>
    </row>
    <row r="619" spans="1:9" ht="12.95" customHeight="1" x14ac:dyDescent="0.2">
      <c r="A619" s="274">
        <v>5804</v>
      </c>
      <c r="B619" s="241" t="str">
        <f t="shared" si="60"/>
        <v>BF</v>
      </c>
      <c r="C619" s="243" t="str">
        <f t="shared" si="59"/>
        <v>Matheny</v>
      </c>
      <c r="D619" s="275" t="s">
        <v>1747</v>
      </c>
      <c r="E619" s="214" t="str">
        <f t="shared" si="61"/>
        <v>BF</v>
      </c>
      <c r="F619" s="242">
        <f t="shared" si="65"/>
        <v>5804</v>
      </c>
      <c r="G619" s="274">
        <v>500</v>
      </c>
      <c r="H619" s="241" t="str">
        <f t="shared" si="62"/>
        <v xml:space="preserve">Buffalo F/R Events </v>
      </c>
      <c r="I619" s="241" t="s">
        <v>847</v>
      </c>
    </row>
    <row r="620" spans="1:9" ht="12.95" customHeight="1" x14ac:dyDescent="0.2">
      <c r="A620" s="274">
        <v>5805</v>
      </c>
      <c r="B620" s="241" t="str">
        <f t="shared" si="60"/>
        <v>BI</v>
      </c>
      <c r="C620" s="243" t="str">
        <f t="shared" si="59"/>
        <v>Hawes</v>
      </c>
      <c r="D620" s="275" t="s">
        <v>973</v>
      </c>
      <c r="E620" s="214" t="str">
        <f t="shared" si="61"/>
        <v>BI</v>
      </c>
      <c r="F620" s="242">
        <f t="shared" si="65"/>
        <v>5805</v>
      </c>
      <c r="G620" s="274">
        <v>500</v>
      </c>
      <c r="H620" s="241" t="str">
        <f t="shared" si="62"/>
        <v xml:space="preserve">Bloomington, Indiana </v>
      </c>
      <c r="I620" s="241" t="s">
        <v>847</v>
      </c>
    </row>
    <row r="621" spans="1:9" ht="12.95" customHeight="1" x14ac:dyDescent="0.2">
      <c r="A621" s="274">
        <v>5806</v>
      </c>
      <c r="B621" s="241" t="str">
        <f t="shared" si="60"/>
        <v>BM</v>
      </c>
      <c r="C621" s="243" t="str">
        <f t="shared" ref="C621:C652" si="66">IFERROR(PROPER(MID(D621,SEARCH("{",D621,1)+1,SEARCH("}",D621,1)-SEARCH("{",D621,1)-1)),"")</f>
        <v>Hope</v>
      </c>
      <c r="D621" s="275" t="s">
        <v>138</v>
      </c>
      <c r="E621" s="214" t="str">
        <f t="shared" si="61"/>
        <v>BM</v>
      </c>
      <c r="F621" s="242">
        <f t="shared" si="65"/>
        <v>5806</v>
      </c>
      <c r="G621" s="274">
        <v>500</v>
      </c>
      <c r="H621" s="241" t="str">
        <f t="shared" si="62"/>
        <v xml:space="preserve">Boston, MA  </v>
      </c>
      <c r="I621" s="241" t="s">
        <v>847</v>
      </c>
    </row>
    <row r="622" spans="1:9" ht="12.95" customHeight="1" x14ac:dyDescent="0.2">
      <c r="A622" s="274">
        <v>5807</v>
      </c>
      <c r="B622" s="241" t="str">
        <f t="shared" si="60"/>
        <v>BN</v>
      </c>
      <c r="C622" s="243" t="str">
        <f t="shared" si="66"/>
        <v>Matheny</v>
      </c>
      <c r="D622" s="275" t="s">
        <v>1748</v>
      </c>
      <c r="E622" s="214" t="str">
        <f t="shared" si="61"/>
        <v>BN</v>
      </c>
      <c r="F622" s="242">
        <f t="shared" si="65"/>
        <v>5807</v>
      </c>
      <c r="G622" s="274">
        <v>500</v>
      </c>
      <c r="H622" s="241" t="str">
        <f t="shared" si="62"/>
        <v xml:space="preserve">Buffalo, NY </v>
      </c>
      <c r="I622" s="241" t="s">
        <v>847</v>
      </c>
    </row>
    <row r="623" spans="1:9" ht="12.95" customHeight="1" x14ac:dyDescent="0.2">
      <c r="A623" s="274">
        <v>5808</v>
      </c>
      <c r="B623" s="241" t="str">
        <f t="shared" si="60"/>
        <v>CI</v>
      </c>
      <c r="C623" s="243" t="str">
        <f t="shared" si="66"/>
        <v>Ingram</v>
      </c>
      <c r="D623" s="275" t="s">
        <v>810</v>
      </c>
      <c r="E623" s="214" t="str">
        <f t="shared" si="61"/>
        <v>CI</v>
      </c>
      <c r="F623" s="242">
        <f t="shared" si="65"/>
        <v>5808</v>
      </c>
      <c r="G623" s="274">
        <v>500</v>
      </c>
      <c r="H623" s="241" t="str">
        <f t="shared" si="62"/>
        <v xml:space="preserve">Chicago, IL </v>
      </c>
      <c r="I623" s="241" t="s">
        <v>847</v>
      </c>
    </row>
    <row r="624" spans="1:9" ht="12.95" customHeight="1" x14ac:dyDescent="0.2">
      <c r="A624" s="274">
        <v>5809</v>
      </c>
      <c r="B624" s="241" t="str">
        <f t="shared" si="60"/>
        <v>CC</v>
      </c>
      <c r="C624" s="243" t="str">
        <f t="shared" si="66"/>
        <v>Germann</v>
      </c>
      <c r="D624" s="275" t="s">
        <v>204</v>
      </c>
      <c r="E624" s="214" t="str">
        <f t="shared" si="61"/>
        <v>CC</v>
      </c>
      <c r="F624" s="242">
        <f t="shared" si="65"/>
        <v>5809</v>
      </c>
      <c r="G624" s="274">
        <v>500</v>
      </c>
      <c r="H624" s="241" t="str">
        <f t="shared" si="62"/>
        <v xml:space="preserve">Cincinati City </v>
      </c>
      <c r="I624" s="241" t="s">
        <v>847</v>
      </c>
    </row>
    <row r="625" spans="1:9" ht="12.95" customHeight="1" x14ac:dyDescent="0.2">
      <c r="A625" s="274">
        <v>5810</v>
      </c>
      <c r="B625" s="241" t="str">
        <f t="shared" si="60"/>
        <v>CS</v>
      </c>
      <c r="C625" s="243" t="str">
        <f t="shared" si="66"/>
        <v>Halverson</v>
      </c>
      <c r="D625" s="275" t="s">
        <v>139</v>
      </c>
      <c r="E625" s="214" t="str">
        <f t="shared" si="61"/>
        <v>CS</v>
      </c>
      <c r="F625" s="242">
        <f t="shared" si="65"/>
        <v>5810</v>
      </c>
      <c r="G625" s="274">
        <v>500</v>
      </c>
      <c r="H625" s="241" t="str">
        <f t="shared" si="62"/>
        <v xml:space="preserve">Colorado Springs </v>
      </c>
      <c r="I625" s="241" t="s">
        <v>847</v>
      </c>
    </row>
    <row r="626" spans="1:9" ht="12.95" customHeight="1" x14ac:dyDescent="0.2">
      <c r="A626" s="274">
        <v>5811</v>
      </c>
      <c r="B626" s="241" t="str">
        <f t="shared" si="60"/>
        <v>UA</v>
      </c>
      <c r="C626" s="243" t="str">
        <f t="shared" si="66"/>
        <v>Bunyard</v>
      </c>
      <c r="D626" s="275" t="s">
        <v>1004</v>
      </c>
      <c r="E626" s="214" t="str">
        <f t="shared" si="61"/>
        <v>UA</v>
      </c>
      <c r="F626" s="242">
        <f t="shared" si="65"/>
        <v>5811</v>
      </c>
      <c r="G626" s="274">
        <v>500</v>
      </c>
      <c r="H626" s="241" t="str">
        <f t="shared" si="62"/>
        <v xml:space="preserve">UT Arlington Student Activity </v>
      </c>
      <c r="I626" s="241" t="s">
        <v>847</v>
      </c>
    </row>
    <row r="627" spans="1:9" ht="12.95" customHeight="1" x14ac:dyDescent="0.2">
      <c r="A627" s="274">
        <v>5812</v>
      </c>
      <c r="B627" s="241" t="str">
        <f t="shared" si="60"/>
        <v>TE</v>
      </c>
      <c r="C627" s="243" t="str">
        <f t="shared" si="66"/>
        <v>Decker</v>
      </c>
      <c r="D627" s="275" t="s">
        <v>140</v>
      </c>
      <c r="E627" s="214" t="str">
        <f t="shared" si="61"/>
        <v>TE</v>
      </c>
      <c r="F627" s="242">
        <f t="shared" si="65"/>
        <v>5812</v>
      </c>
      <c r="G627" s="274">
        <v>500</v>
      </c>
      <c r="H627" s="241" t="str">
        <f t="shared" ref="H627:H690" si="67">LEFT(D627,SEARCH("(",D627,1)-1)</f>
        <v xml:space="preserve">Training Events </v>
      </c>
      <c r="I627" s="241" t="s">
        <v>847</v>
      </c>
    </row>
    <row r="628" spans="1:9" ht="12.95" customHeight="1" x14ac:dyDescent="0.2">
      <c r="A628" s="274">
        <v>5813</v>
      </c>
      <c r="B628" s="241" t="str">
        <f t="shared" si="60"/>
        <v>WD</v>
      </c>
      <c r="C628" s="243" t="str">
        <f t="shared" si="66"/>
        <v>Sigman</v>
      </c>
      <c r="D628" s="275" t="s">
        <v>947</v>
      </c>
      <c r="E628" s="214" t="str">
        <f t="shared" si="61"/>
        <v>WD</v>
      </c>
      <c r="F628" s="242">
        <f t="shared" si="65"/>
        <v>5813</v>
      </c>
      <c r="G628" s="274">
        <v>500</v>
      </c>
      <c r="H628" s="241" t="str">
        <f t="shared" si="67"/>
        <v xml:space="preserve">Washington DC </v>
      </c>
      <c r="I628" s="241" t="s">
        <v>847</v>
      </c>
    </row>
    <row r="629" spans="1:9" ht="12.95" customHeight="1" x14ac:dyDescent="0.2">
      <c r="A629" s="274">
        <v>5814</v>
      </c>
      <c r="B629" s="241" t="str">
        <f t="shared" si="60"/>
        <v>DM</v>
      </c>
      <c r="C629" s="243" t="str">
        <f t="shared" si="66"/>
        <v>Compton</v>
      </c>
      <c r="D629" s="275" t="s">
        <v>141</v>
      </c>
      <c r="E629" s="214" t="str">
        <f t="shared" si="61"/>
        <v>DM</v>
      </c>
      <c r="F629" s="242">
        <f t="shared" si="65"/>
        <v>5814</v>
      </c>
      <c r="G629" s="274">
        <v>500</v>
      </c>
      <c r="H629" s="241" t="str">
        <f t="shared" si="67"/>
        <v xml:space="preserve">DU Ministry </v>
      </c>
      <c r="I629" s="241" t="s">
        <v>847</v>
      </c>
    </row>
    <row r="630" spans="1:9" ht="12.95" customHeight="1" x14ac:dyDescent="0.2">
      <c r="A630" s="274">
        <v>5815</v>
      </c>
      <c r="B630" s="241" t="str">
        <f t="shared" si="60"/>
        <v>EA</v>
      </c>
      <c r="C630" s="243" t="str">
        <f t="shared" si="66"/>
        <v>Smith</v>
      </c>
      <c r="D630" s="275" t="s">
        <v>142</v>
      </c>
      <c r="E630" s="214" t="str">
        <f t="shared" si="61"/>
        <v>EA</v>
      </c>
      <c r="F630" s="242">
        <f t="shared" si="65"/>
        <v>5815</v>
      </c>
      <c r="G630" s="274">
        <v>500</v>
      </c>
      <c r="H630" s="241" t="str">
        <f t="shared" si="67"/>
        <v xml:space="preserve">Eugene Area </v>
      </c>
      <c r="I630" s="241" t="s">
        <v>847</v>
      </c>
    </row>
    <row r="631" spans="1:9" ht="12.95" customHeight="1" x14ac:dyDescent="0.2">
      <c r="A631" s="274">
        <v>5816</v>
      </c>
      <c r="B631" s="241" t="str">
        <f t="shared" si="60"/>
        <v>NT</v>
      </c>
      <c r="C631" s="243" t="str">
        <f t="shared" si="66"/>
        <v>Yabuki</v>
      </c>
      <c r="D631" s="275" t="s">
        <v>143</v>
      </c>
      <c r="E631" s="214" t="str">
        <f t="shared" si="61"/>
        <v>NT</v>
      </c>
      <c r="F631" s="242">
        <f t="shared" si="65"/>
        <v>5816</v>
      </c>
      <c r="G631" s="274">
        <v>500</v>
      </c>
      <c r="H631" s="241" t="str">
        <f t="shared" si="67"/>
        <v xml:space="preserve">North Texas ISM </v>
      </c>
      <c r="I631" s="241" t="s">
        <v>847</v>
      </c>
    </row>
    <row r="632" spans="1:9" ht="12.95" customHeight="1" x14ac:dyDescent="0.2">
      <c r="A632" s="274">
        <v>5819</v>
      </c>
      <c r="B632" s="241" t="str">
        <f t="shared" si="60"/>
        <v>RC</v>
      </c>
      <c r="C632" s="243" t="str">
        <f t="shared" si="66"/>
        <v>Larson</v>
      </c>
      <c r="D632" s="275" t="s">
        <v>144</v>
      </c>
      <c r="E632" s="214" t="str">
        <f t="shared" si="61"/>
        <v>RC</v>
      </c>
      <c r="F632" s="242">
        <f t="shared" si="65"/>
        <v>5819</v>
      </c>
      <c r="G632" s="274">
        <v>500</v>
      </c>
      <c r="H632" s="241" t="str">
        <f t="shared" si="67"/>
        <v xml:space="preserve">Rochester City </v>
      </c>
      <c r="I632" s="241" t="s">
        <v>847</v>
      </c>
    </row>
    <row r="633" spans="1:9" ht="12.95" customHeight="1" x14ac:dyDescent="0.2">
      <c r="A633" s="274">
        <v>5820</v>
      </c>
      <c r="B633" s="241" t="str">
        <f t="shared" si="60"/>
        <v>TC</v>
      </c>
      <c r="C633" s="243" t="str">
        <f t="shared" si="66"/>
        <v>Hutton</v>
      </c>
      <c r="D633" s="275" t="s">
        <v>145</v>
      </c>
      <c r="E633" s="214" t="str">
        <f t="shared" si="61"/>
        <v>TC</v>
      </c>
      <c r="F633" s="242">
        <f t="shared" si="65"/>
        <v>5820</v>
      </c>
      <c r="G633" s="274">
        <v>500</v>
      </c>
      <c r="H633" s="241" t="str">
        <f t="shared" si="67"/>
        <v xml:space="preserve">Twin Cities City </v>
      </c>
      <c r="I633" s="241" t="s">
        <v>847</v>
      </c>
    </row>
    <row r="634" spans="1:9" ht="12.95" customHeight="1" x14ac:dyDescent="0.2">
      <c r="A634" s="274">
        <v>5821</v>
      </c>
      <c r="B634" s="241" t="str">
        <f t="shared" si="60"/>
        <v>N(</v>
      </c>
      <c r="C634" s="243" t="str">
        <f t="shared" si="66"/>
        <v>Althouse</v>
      </c>
      <c r="D634" s="275" t="s">
        <v>976</v>
      </c>
      <c r="E634" s="214" t="str">
        <f t="shared" si="61"/>
        <v>N(</v>
      </c>
      <c r="F634" s="242">
        <f t="shared" si="65"/>
        <v>5821</v>
      </c>
      <c r="G634" s="274">
        <v>500</v>
      </c>
      <c r="H634" s="241" t="str">
        <f t="shared" si="67"/>
        <v xml:space="preserve">NYC </v>
      </c>
      <c r="I634" s="241" t="s">
        <v>847</v>
      </c>
    </row>
    <row r="635" spans="1:9" ht="12.95" customHeight="1" x14ac:dyDescent="0.2">
      <c r="A635" s="274">
        <v>5822</v>
      </c>
      <c r="B635" s="241" t="str">
        <f t="shared" si="60"/>
        <v>Uo</v>
      </c>
      <c r="C635" s="243" t="str">
        <f t="shared" si="66"/>
        <v>Pearce</v>
      </c>
      <c r="D635" s="275" t="s">
        <v>764</v>
      </c>
      <c r="E635" s="214" t="str">
        <f t="shared" si="61"/>
        <v>Uo</v>
      </c>
      <c r="F635" s="242">
        <f t="shared" ref="F635:F666" si="68">A635</f>
        <v>5822</v>
      </c>
      <c r="G635" s="274">
        <v>500</v>
      </c>
      <c r="H635" s="241" t="str">
        <f t="shared" si="67"/>
        <v xml:space="preserve">Univ of CA Irvine </v>
      </c>
      <c r="I635" s="241" t="s">
        <v>847</v>
      </c>
    </row>
    <row r="636" spans="1:9" ht="12.95" customHeight="1" x14ac:dyDescent="0.2">
      <c r="A636" s="274">
        <v>5823</v>
      </c>
      <c r="B636" s="241" t="str">
        <f t="shared" si="60"/>
        <v>M(</v>
      </c>
      <c r="C636" s="243" t="str">
        <f t="shared" si="66"/>
        <v>Zeigler</v>
      </c>
      <c r="D636" s="275" t="s">
        <v>677</v>
      </c>
      <c r="E636" s="214" t="str">
        <f t="shared" si="61"/>
        <v>M(</v>
      </c>
      <c r="F636" s="242">
        <f t="shared" si="68"/>
        <v>5823</v>
      </c>
      <c r="G636" s="274">
        <v>500</v>
      </c>
      <c r="H636" s="241" t="str">
        <f t="shared" si="67"/>
        <v xml:space="preserve">Monterey </v>
      </c>
      <c r="I636" s="241" t="s">
        <v>847</v>
      </c>
    </row>
    <row r="637" spans="1:9" ht="12.95" customHeight="1" x14ac:dyDescent="0.2">
      <c r="A637" s="274">
        <v>5824</v>
      </c>
      <c r="B637" s="241" t="str">
        <f t="shared" si="60"/>
        <v>PE</v>
      </c>
      <c r="C637" s="243" t="str">
        <f t="shared" si="66"/>
        <v>Sinclair</v>
      </c>
      <c r="D637" s="275" t="s">
        <v>459</v>
      </c>
      <c r="E637" s="214" t="str">
        <f t="shared" si="61"/>
        <v>PE</v>
      </c>
      <c r="F637" s="242">
        <f t="shared" si="68"/>
        <v>5824</v>
      </c>
      <c r="G637" s="274">
        <v>500</v>
      </c>
      <c r="H637" s="241" t="str">
        <f t="shared" si="67"/>
        <v xml:space="preserve">Portland Events </v>
      </c>
      <c r="I637" s="241" t="s">
        <v>847</v>
      </c>
    </row>
    <row r="638" spans="1:9" ht="12.95" customHeight="1" x14ac:dyDescent="0.2">
      <c r="A638" s="274">
        <v>5825</v>
      </c>
      <c r="B638" s="241" t="str">
        <f t="shared" si="60"/>
        <v>VS</v>
      </c>
      <c r="C638" s="243" t="str">
        <f t="shared" si="66"/>
        <v>Truex</v>
      </c>
      <c r="D638" s="275" t="s">
        <v>146</v>
      </c>
      <c r="E638" s="214" t="str">
        <f t="shared" si="61"/>
        <v>VS</v>
      </c>
      <c r="F638" s="242">
        <f t="shared" si="68"/>
        <v>5825</v>
      </c>
      <c r="G638" s="274">
        <v>500</v>
      </c>
      <c r="H638" s="241" t="str">
        <f t="shared" si="67"/>
        <v xml:space="preserve">Virginia Scholarships </v>
      </c>
      <c r="I638" s="241" t="s">
        <v>847</v>
      </c>
    </row>
    <row r="639" spans="1:9" ht="12.95" customHeight="1" x14ac:dyDescent="0.2">
      <c r="A639" s="274">
        <v>5826</v>
      </c>
      <c r="B639" s="241" t="str">
        <f t="shared" si="60"/>
        <v>PO</v>
      </c>
      <c r="C639" s="243" t="str">
        <f t="shared" si="66"/>
        <v>Sinclair</v>
      </c>
      <c r="D639" s="275" t="s">
        <v>460</v>
      </c>
      <c r="E639" s="214" t="str">
        <f t="shared" si="61"/>
        <v>PO</v>
      </c>
      <c r="F639" s="242">
        <f t="shared" si="68"/>
        <v>5826</v>
      </c>
      <c r="G639" s="274">
        <v>500</v>
      </c>
      <c r="H639" s="241" t="str">
        <f t="shared" si="67"/>
        <v xml:space="preserve">Portland, OR- </v>
      </c>
      <c r="I639" s="241" t="s">
        <v>847</v>
      </c>
    </row>
    <row r="640" spans="1:9" ht="12.95" customHeight="1" x14ac:dyDescent="0.2">
      <c r="A640" s="274">
        <v>5827</v>
      </c>
      <c r="B640" s="241" t="str">
        <f t="shared" si="60"/>
        <v>PN</v>
      </c>
      <c r="C640" s="243" t="str">
        <f t="shared" si="66"/>
        <v>Desai</v>
      </c>
      <c r="D640" s="275" t="s">
        <v>461</v>
      </c>
      <c r="E640" s="214" t="str">
        <f t="shared" si="61"/>
        <v>PN</v>
      </c>
      <c r="F640" s="242">
        <f t="shared" si="68"/>
        <v>5827</v>
      </c>
      <c r="G640" s="274">
        <v>500</v>
      </c>
      <c r="H640" s="241" t="str">
        <f t="shared" si="67"/>
        <v xml:space="preserve">Princeton, NJ </v>
      </c>
      <c r="I640" s="241" t="s">
        <v>847</v>
      </c>
    </row>
    <row r="641" spans="1:9" ht="12.95" customHeight="1" x14ac:dyDescent="0.2">
      <c r="A641" s="274">
        <v>5828</v>
      </c>
      <c r="B641" s="241" t="str">
        <f t="shared" si="60"/>
        <v>PC</v>
      </c>
      <c r="C641" s="243" t="str">
        <f t="shared" si="66"/>
        <v>Crowell</v>
      </c>
      <c r="D641" s="275" t="s">
        <v>147</v>
      </c>
      <c r="E641" s="214" t="str">
        <f t="shared" si="61"/>
        <v>PC</v>
      </c>
      <c r="F641" s="242">
        <f t="shared" si="68"/>
        <v>5828</v>
      </c>
      <c r="G641" s="274">
        <v>500</v>
      </c>
      <c r="H641" s="241" t="str">
        <f t="shared" si="67"/>
        <v xml:space="preserve">Phoenix City </v>
      </c>
      <c r="I641" s="241" t="s">
        <v>847</v>
      </c>
    </row>
    <row r="642" spans="1:9" ht="12.95" customHeight="1" x14ac:dyDescent="0.2">
      <c r="A642" s="274">
        <v>5829</v>
      </c>
      <c r="B642" s="241" t="str">
        <f t="shared" si="60"/>
        <v>T(</v>
      </c>
      <c r="C642" s="243" t="str">
        <f t="shared" si="66"/>
        <v>Boyles</v>
      </c>
      <c r="D642" s="275" t="s">
        <v>933</v>
      </c>
      <c r="E642" s="214" t="str">
        <f t="shared" si="61"/>
        <v>T(</v>
      </c>
      <c r="F642" s="242">
        <f t="shared" si="68"/>
        <v>5829</v>
      </c>
      <c r="G642" s="274">
        <v>500</v>
      </c>
      <c r="H642" s="241" t="str">
        <f t="shared" si="67"/>
        <v xml:space="preserve">Tempe </v>
      </c>
      <c r="I642" s="241" t="s">
        <v>847</v>
      </c>
    </row>
    <row r="643" spans="1:9" ht="12.95" customHeight="1" x14ac:dyDescent="0.2">
      <c r="A643" s="274">
        <v>5830</v>
      </c>
      <c r="B643" s="241" t="str">
        <f t="shared" ref="B643:B706" si="69">E643</f>
        <v>SD</v>
      </c>
      <c r="C643" s="243" t="str">
        <f t="shared" si="66"/>
        <v>Maneevone</v>
      </c>
      <c r="D643" s="275" t="s">
        <v>932</v>
      </c>
      <c r="E643" s="214" t="str">
        <f t="shared" ref="E643:E706" si="70">LEFT(D643,1)&amp;MID(D643,SEARCH(" ",D643,1)+1,1)</f>
        <v>SD</v>
      </c>
      <c r="F643" s="242">
        <f t="shared" si="68"/>
        <v>5830</v>
      </c>
      <c r="G643" s="274">
        <v>500</v>
      </c>
      <c r="H643" s="241" t="str">
        <f t="shared" si="67"/>
        <v xml:space="preserve">San Diego Cnty Ops </v>
      </c>
      <c r="I643" s="241" t="s">
        <v>847</v>
      </c>
    </row>
    <row r="644" spans="1:9" ht="12.95" customHeight="1" x14ac:dyDescent="0.2">
      <c r="A644" s="274">
        <v>5831</v>
      </c>
      <c r="B644" s="241" t="str">
        <f t="shared" si="69"/>
        <v>SC</v>
      </c>
      <c r="C644" s="243" t="str">
        <f t="shared" si="66"/>
        <v>Frambe</v>
      </c>
      <c r="D644" s="275" t="s">
        <v>765</v>
      </c>
      <c r="E644" s="214" t="str">
        <f t="shared" si="70"/>
        <v>SC</v>
      </c>
      <c r="F644" s="242">
        <f t="shared" si="68"/>
        <v>5831</v>
      </c>
      <c r="G644" s="274">
        <v>500</v>
      </c>
      <c r="H644" s="241" t="str">
        <f t="shared" si="67"/>
        <v xml:space="preserve">Seattle City </v>
      </c>
      <c r="I644" s="241" t="s">
        <v>847</v>
      </c>
    </row>
    <row r="645" spans="1:9" ht="12.95" customHeight="1" x14ac:dyDescent="0.2">
      <c r="A645" s="274">
        <v>5832</v>
      </c>
      <c r="B645" s="241" t="str">
        <f t="shared" si="69"/>
        <v>SE</v>
      </c>
      <c r="C645" s="243" t="str">
        <f t="shared" si="66"/>
        <v>Frambe</v>
      </c>
      <c r="D645" s="275" t="s">
        <v>766</v>
      </c>
      <c r="E645" s="214" t="str">
        <f t="shared" si="70"/>
        <v>SE</v>
      </c>
      <c r="F645" s="242">
        <f t="shared" si="68"/>
        <v>5832</v>
      </c>
      <c r="G645" s="274">
        <v>500</v>
      </c>
      <c r="H645" s="241" t="str">
        <f t="shared" si="67"/>
        <v xml:space="preserve">Seattle Events </v>
      </c>
      <c r="I645" s="241" t="s">
        <v>847</v>
      </c>
    </row>
    <row r="646" spans="1:9" ht="12.95" customHeight="1" x14ac:dyDescent="0.2">
      <c r="A646" s="274">
        <v>5833</v>
      </c>
      <c r="B646" s="241" t="str">
        <f t="shared" si="69"/>
        <v>SL</v>
      </c>
      <c r="C646" s="243" t="str">
        <f t="shared" si="66"/>
        <v>Yabuki</v>
      </c>
      <c r="D646" s="275" t="s">
        <v>1749</v>
      </c>
      <c r="E646" s="214" t="str">
        <f t="shared" si="70"/>
        <v>SL</v>
      </c>
      <c r="F646" s="242">
        <f t="shared" si="68"/>
        <v>5833</v>
      </c>
      <c r="G646" s="274">
        <v>500</v>
      </c>
      <c r="H646" s="241" t="str">
        <f t="shared" si="67"/>
        <v xml:space="preserve">ST LOUIS </v>
      </c>
      <c r="I646" s="241" t="s">
        <v>847</v>
      </c>
    </row>
    <row r="647" spans="1:9" ht="12.95" customHeight="1" x14ac:dyDescent="0.2">
      <c r="A647" s="274">
        <v>5835</v>
      </c>
      <c r="B647" s="241" t="str">
        <f t="shared" si="69"/>
        <v>SL</v>
      </c>
      <c r="C647" s="243" t="str">
        <f t="shared" si="66"/>
        <v>Yabuki</v>
      </c>
      <c r="D647" s="275" t="s">
        <v>1750</v>
      </c>
      <c r="E647" s="214" t="str">
        <f t="shared" si="70"/>
        <v>SL</v>
      </c>
      <c r="F647" s="242">
        <f t="shared" si="68"/>
        <v>5835</v>
      </c>
      <c r="G647" s="274">
        <v>500</v>
      </c>
      <c r="H647" s="241" t="str">
        <f t="shared" si="67"/>
        <v xml:space="preserve">St. Louis Activities </v>
      </c>
      <c r="I647" s="241" t="s">
        <v>847</v>
      </c>
    </row>
    <row r="648" spans="1:9" ht="12.95" customHeight="1" x14ac:dyDescent="0.2">
      <c r="A648" s="274">
        <v>5836</v>
      </c>
      <c r="B648" s="241" t="str">
        <f t="shared" si="69"/>
        <v>AC</v>
      </c>
      <c r="C648" s="243" t="str">
        <f t="shared" si="66"/>
        <v>Yabuki</v>
      </c>
      <c r="D648" s="275" t="s">
        <v>935</v>
      </c>
      <c r="E648" s="214" t="str">
        <f t="shared" si="70"/>
        <v>AC</v>
      </c>
      <c r="F648" s="242">
        <f t="shared" si="68"/>
        <v>5836</v>
      </c>
      <c r="G648" s="274">
        <v>500</v>
      </c>
      <c r="H648" s="241" t="str">
        <f t="shared" si="67"/>
        <v xml:space="preserve">Albuquerque City </v>
      </c>
      <c r="I648" s="241" t="s">
        <v>847</v>
      </c>
    </row>
    <row r="649" spans="1:9" ht="12.95" customHeight="1" x14ac:dyDescent="0.2">
      <c r="A649" s="274">
        <v>5837</v>
      </c>
      <c r="B649" s="241" t="str">
        <f t="shared" si="69"/>
        <v>KC</v>
      </c>
      <c r="C649" s="243" t="str">
        <f t="shared" si="66"/>
        <v>Germann</v>
      </c>
      <c r="D649" s="275" t="s">
        <v>228</v>
      </c>
      <c r="E649" s="214" t="str">
        <f t="shared" si="70"/>
        <v>KC</v>
      </c>
      <c r="F649" s="242">
        <f t="shared" si="68"/>
        <v>5837</v>
      </c>
      <c r="G649" s="274">
        <v>500</v>
      </c>
      <c r="H649" s="241" t="str">
        <f t="shared" si="67"/>
        <v xml:space="preserve">Kalamazoo City </v>
      </c>
      <c r="I649" s="241" t="s">
        <v>847</v>
      </c>
    </row>
    <row r="650" spans="1:9" ht="12.95" customHeight="1" x14ac:dyDescent="0.2">
      <c r="A650" s="274">
        <v>5838</v>
      </c>
      <c r="B650" s="241" t="str">
        <f t="shared" si="69"/>
        <v>CE</v>
      </c>
      <c r="C650" s="243" t="str">
        <f t="shared" si="66"/>
        <v>Ingram</v>
      </c>
      <c r="D650" s="275" t="s">
        <v>811</v>
      </c>
      <c r="E650" s="214" t="str">
        <f t="shared" si="70"/>
        <v>CE</v>
      </c>
      <c r="F650" s="242">
        <f t="shared" si="68"/>
        <v>5838</v>
      </c>
      <c r="G650" s="274">
        <v>500</v>
      </c>
      <c r="H650" s="241" t="str">
        <f t="shared" si="67"/>
        <v xml:space="preserve">Chicago Events </v>
      </c>
      <c r="I650" s="241" t="s">
        <v>847</v>
      </c>
    </row>
    <row r="651" spans="1:9" ht="12.95" customHeight="1" x14ac:dyDescent="0.2">
      <c r="A651" s="274">
        <v>5839</v>
      </c>
      <c r="B651" s="241" t="str">
        <f t="shared" si="69"/>
        <v>A(</v>
      </c>
      <c r="C651" s="243" t="str">
        <f t="shared" si="66"/>
        <v>Yabuki</v>
      </c>
      <c r="D651" s="275" t="s">
        <v>936</v>
      </c>
      <c r="E651" s="214" t="str">
        <f t="shared" si="70"/>
        <v>A(</v>
      </c>
      <c r="F651" s="242">
        <f t="shared" si="68"/>
        <v>5839</v>
      </c>
      <c r="G651" s="274">
        <v>500</v>
      </c>
      <c r="H651" s="241" t="str">
        <f t="shared" si="67"/>
        <v xml:space="preserve">AustinStudSponsorshp </v>
      </c>
      <c r="I651" s="241" t="s">
        <v>847</v>
      </c>
    </row>
    <row r="652" spans="1:9" ht="12.95" customHeight="1" x14ac:dyDescent="0.2">
      <c r="A652" s="274">
        <v>5840</v>
      </c>
      <c r="B652" s="241" t="str">
        <f t="shared" si="69"/>
        <v>HK</v>
      </c>
      <c r="C652" s="243" t="str">
        <f t="shared" si="66"/>
        <v>Yabuki</v>
      </c>
      <c r="D652" s="275" t="s">
        <v>937</v>
      </c>
      <c r="E652" s="214" t="str">
        <f t="shared" si="70"/>
        <v>HK</v>
      </c>
      <c r="F652" s="242">
        <f t="shared" si="68"/>
        <v>5840</v>
      </c>
      <c r="G652" s="274">
        <v>500</v>
      </c>
      <c r="H652" s="241" t="str">
        <f t="shared" si="67"/>
        <v xml:space="preserve">Hays, KS </v>
      </c>
      <c r="I652" s="241" t="s">
        <v>847</v>
      </c>
    </row>
    <row r="653" spans="1:9" ht="12.95" customHeight="1" x14ac:dyDescent="0.2">
      <c r="A653" s="274">
        <v>5841</v>
      </c>
      <c r="B653" s="241" t="str">
        <f t="shared" si="69"/>
        <v>B(</v>
      </c>
      <c r="C653" s="243" t="str">
        <f t="shared" ref="C653:C684" si="71">IFERROR(PROPER(MID(D653,SEARCH("{",D653,1)+1,SEARCH("}",D653,1)-SEARCH("{",D653,1)-1)),"")</f>
        <v>Larson</v>
      </c>
      <c r="D653" s="275" t="s">
        <v>946</v>
      </c>
      <c r="E653" s="214" t="str">
        <f t="shared" si="70"/>
        <v>B(</v>
      </c>
      <c r="F653" s="242">
        <f t="shared" si="68"/>
        <v>5841</v>
      </c>
      <c r="G653" s="274">
        <v>500</v>
      </c>
      <c r="H653" s="241" t="str">
        <f t="shared" si="67"/>
        <v xml:space="preserve">Baltimore </v>
      </c>
      <c r="I653" s="241" t="s">
        <v>847</v>
      </c>
    </row>
    <row r="654" spans="1:9" ht="12.95" customHeight="1" x14ac:dyDescent="0.2">
      <c r="A654" s="274">
        <v>5842</v>
      </c>
      <c r="B654" s="241" t="str">
        <f t="shared" si="69"/>
        <v>BC</v>
      </c>
      <c r="C654" s="243" t="str">
        <f t="shared" si="71"/>
        <v>Yabuki</v>
      </c>
      <c r="D654" s="275" t="s">
        <v>934</v>
      </c>
      <c r="E654" s="214" t="str">
        <f t="shared" si="70"/>
        <v>BC</v>
      </c>
      <c r="F654" s="242">
        <f t="shared" si="68"/>
        <v>5842</v>
      </c>
      <c r="G654" s="274">
        <v>500</v>
      </c>
      <c r="H654" s="241" t="str">
        <f t="shared" si="67"/>
        <v xml:space="preserve">Boulder City Account </v>
      </c>
      <c r="I654" s="241" t="s">
        <v>847</v>
      </c>
    </row>
    <row r="655" spans="1:9" ht="12.95" customHeight="1" x14ac:dyDescent="0.2">
      <c r="A655" s="274">
        <v>5843</v>
      </c>
      <c r="B655" s="241" t="str">
        <f t="shared" si="69"/>
        <v>RC</v>
      </c>
      <c r="C655" s="243" t="str">
        <f t="shared" si="71"/>
        <v>Fannin</v>
      </c>
      <c r="D655" s="275" t="s">
        <v>148</v>
      </c>
      <c r="E655" s="214" t="str">
        <f t="shared" si="70"/>
        <v>RC</v>
      </c>
      <c r="F655" s="242">
        <f t="shared" si="68"/>
        <v>5843</v>
      </c>
      <c r="G655" s="274">
        <v>500</v>
      </c>
      <c r="H655" s="241" t="str">
        <f t="shared" si="67"/>
        <v xml:space="preserve">Rapid City Events </v>
      </c>
      <c r="I655" s="241" t="s">
        <v>847</v>
      </c>
    </row>
    <row r="656" spans="1:9" ht="12.95" customHeight="1" x14ac:dyDescent="0.2">
      <c r="A656" s="274">
        <v>5844</v>
      </c>
      <c r="B656" s="241" t="str">
        <f t="shared" si="69"/>
        <v>DC</v>
      </c>
      <c r="C656" s="243" t="str">
        <f t="shared" si="71"/>
        <v>Hawkins</v>
      </c>
      <c r="D656" s="275" t="s">
        <v>149</v>
      </c>
      <c r="E656" s="214" t="str">
        <f t="shared" si="70"/>
        <v>DC</v>
      </c>
      <c r="F656" s="242">
        <f t="shared" si="68"/>
        <v>5844</v>
      </c>
      <c r="G656" s="274">
        <v>500</v>
      </c>
      <c r="H656" s="241" t="str">
        <f t="shared" si="67"/>
        <v xml:space="preserve">Durham City </v>
      </c>
      <c r="I656" s="241" t="s">
        <v>847</v>
      </c>
    </row>
    <row r="657" spans="1:9" ht="12.95" customHeight="1" x14ac:dyDescent="0.2">
      <c r="A657" s="274">
        <v>5845</v>
      </c>
      <c r="B657" s="241" t="str">
        <f t="shared" si="69"/>
        <v>RC</v>
      </c>
      <c r="C657" s="243" t="str">
        <f t="shared" si="71"/>
        <v>Zeigler</v>
      </c>
      <c r="D657" s="275" t="s">
        <v>469</v>
      </c>
      <c r="E657" s="214" t="str">
        <f t="shared" si="70"/>
        <v>RC</v>
      </c>
      <c r="F657" s="242">
        <f t="shared" si="68"/>
        <v>5845</v>
      </c>
      <c r="G657" s="274">
        <v>500</v>
      </c>
      <c r="H657" s="241" t="str">
        <f t="shared" si="67"/>
        <v xml:space="preserve">Rocklin, CA </v>
      </c>
      <c r="I657" s="241" t="s">
        <v>847</v>
      </c>
    </row>
    <row r="658" spans="1:9" ht="12.95" customHeight="1" x14ac:dyDescent="0.2">
      <c r="A658" s="274">
        <v>5846</v>
      </c>
      <c r="B658" s="241" t="str">
        <f t="shared" si="69"/>
        <v>BI</v>
      </c>
      <c r="C658" s="243" t="str">
        <f t="shared" si="71"/>
        <v>Dunne</v>
      </c>
      <c r="D658" s="275" t="s">
        <v>315</v>
      </c>
      <c r="E658" s="214" t="str">
        <f t="shared" si="70"/>
        <v>BI</v>
      </c>
      <c r="F658" s="242">
        <f t="shared" si="68"/>
        <v>5846</v>
      </c>
      <c r="G658" s="274">
        <v>500</v>
      </c>
      <c r="H658" s="241" t="str">
        <f t="shared" si="67"/>
        <v xml:space="preserve">Boise, ID </v>
      </c>
      <c r="I658" s="241" t="s">
        <v>847</v>
      </c>
    </row>
    <row r="659" spans="1:9" ht="12.95" customHeight="1" x14ac:dyDescent="0.2">
      <c r="A659" s="274">
        <v>5847</v>
      </c>
      <c r="B659" s="241" t="str">
        <f t="shared" si="69"/>
        <v>GN</v>
      </c>
      <c r="C659" s="243" t="str">
        <f t="shared" si="71"/>
        <v>Wesselink</v>
      </c>
      <c r="D659" s="275" t="s">
        <v>150</v>
      </c>
      <c r="E659" s="214" t="str">
        <f t="shared" si="70"/>
        <v>GN</v>
      </c>
      <c r="F659" s="242">
        <f t="shared" si="68"/>
        <v>5847</v>
      </c>
      <c r="G659" s="274">
        <v>500</v>
      </c>
      <c r="H659" s="241" t="str">
        <f t="shared" si="67"/>
        <v xml:space="preserve">Greensboro, NC </v>
      </c>
      <c r="I659" s="241" t="s">
        <v>847</v>
      </c>
    </row>
    <row r="660" spans="1:9" ht="12.95" customHeight="1" x14ac:dyDescent="0.2">
      <c r="A660" s="274">
        <v>5848</v>
      </c>
      <c r="B660" s="241" t="str">
        <f t="shared" si="69"/>
        <v>SB</v>
      </c>
      <c r="C660" s="243" t="str">
        <f t="shared" si="71"/>
        <v>Notehelfer</v>
      </c>
      <c r="D660" s="275" t="s">
        <v>473</v>
      </c>
      <c r="E660" s="214" t="str">
        <f t="shared" si="70"/>
        <v>SB</v>
      </c>
      <c r="F660" s="242">
        <f t="shared" si="68"/>
        <v>5848</v>
      </c>
      <c r="G660" s="274">
        <v>500</v>
      </c>
      <c r="H660" s="241" t="str">
        <f t="shared" si="67"/>
        <v xml:space="preserve">Santa Barbara </v>
      </c>
      <c r="I660" s="241" t="s">
        <v>847</v>
      </c>
    </row>
    <row r="661" spans="1:9" ht="12.95" customHeight="1" x14ac:dyDescent="0.2">
      <c r="A661" s="274">
        <v>5849</v>
      </c>
      <c r="B661" s="241" t="str">
        <f t="shared" si="69"/>
        <v>KN</v>
      </c>
      <c r="C661" s="243" t="str">
        <f t="shared" si="71"/>
        <v>Yabuki</v>
      </c>
      <c r="D661" s="275" t="s">
        <v>938</v>
      </c>
      <c r="E661" s="214" t="str">
        <f t="shared" si="70"/>
        <v>KN</v>
      </c>
      <c r="F661" s="242">
        <f t="shared" si="68"/>
        <v>5849</v>
      </c>
      <c r="G661" s="274">
        <v>500</v>
      </c>
      <c r="H661" s="241" t="str">
        <f t="shared" si="67"/>
        <v xml:space="preserve">Kearney, NE </v>
      </c>
      <c r="I661" s="241" t="s">
        <v>847</v>
      </c>
    </row>
    <row r="662" spans="1:9" ht="12.95" customHeight="1" x14ac:dyDescent="0.2">
      <c r="A662" s="274">
        <v>5850</v>
      </c>
      <c r="B662" s="241" t="str">
        <f t="shared" si="69"/>
        <v>PF</v>
      </c>
      <c r="C662" s="243" t="str">
        <f t="shared" si="71"/>
        <v>Crowell</v>
      </c>
      <c r="D662" s="275" t="s">
        <v>812</v>
      </c>
      <c r="E662" s="214" t="str">
        <f t="shared" si="70"/>
        <v>PF</v>
      </c>
      <c r="F662" s="242">
        <f t="shared" si="68"/>
        <v>5850</v>
      </c>
      <c r="G662" s="274">
        <v>500</v>
      </c>
      <c r="H662" s="241" t="str">
        <f t="shared" si="67"/>
        <v xml:space="preserve">Phoenix Fundraising Evnt </v>
      </c>
      <c r="I662" s="241" t="s">
        <v>847</v>
      </c>
    </row>
    <row r="663" spans="1:9" ht="12.95" customHeight="1" x14ac:dyDescent="0.2">
      <c r="A663" s="274">
        <v>5851</v>
      </c>
      <c r="B663" s="241" t="str">
        <f t="shared" si="69"/>
        <v>TC</v>
      </c>
      <c r="C663" s="243" t="str">
        <f t="shared" si="71"/>
        <v>Bunyard</v>
      </c>
      <c r="D663" s="275" t="s">
        <v>1007</v>
      </c>
      <c r="E663" s="214" t="str">
        <f t="shared" si="70"/>
        <v>TC</v>
      </c>
      <c r="F663" s="242">
        <f t="shared" si="68"/>
        <v>5851</v>
      </c>
      <c r="G663" s="274">
        <v>500</v>
      </c>
      <c r="H663" s="241" t="str">
        <f t="shared" si="67"/>
        <v xml:space="preserve">TCU Campus Ministyr </v>
      </c>
      <c r="I663" s="241" t="s">
        <v>847</v>
      </c>
    </row>
    <row r="664" spans="1:9" ht="12.95" customHeight="1" x14ac:dyDescent="0.2">
      <c r="A664" s="274">
        <v>5853</v>
      </c>
      <c r="B664" s="241" t="str">
        <f t="shared" si="69"/>
        <v>MT</v>
      </c>
      <c r="C664" s="243" t="str">
        <f t="shared" si="71"/>
        <v>Halverson</v>
      </c>
      <c r="D664" s="275" t="s">
        <v>443</v>
      </c>
      <c r="E664" s="214" t="str">
        <f t="shared" si="70"/>
        <v>MT</v>
      </c>
      <c r="F664" s="242">
        <f t="shared" si="68"/>
        <v>5853</v>
      </c>
      <c r="G664" s="274">
        <v>500</v>
      </c>
      <c r="H664" s="241" t="str">
        <f t="shared" si="67"/>
        <v xml:space="preserve">Muslim Task </v>
      </c>
      <c r="I664" s="241" t="s">
        <v>847</v>
      </c>
    </row>
    <row r="665" spans="1:9" ht="12.95" customHeight="1" x14ac:dyDescent="0.2">
      <c r="A665" s="274">
        <v>5854</v>
      </c>
      <c r="B665" s="241" t="str">
        <f t="shared" si="69"/>
        <v>FC</v>
      </c>
      <c r="C665" s="243" t="str">
        <f t="shared" si="71"/>
        <v>Babcock</v>
      </c>
      <c r="D665" s="275" t="s">
        <v>368</v>
      </c>
      <c r="E665" s="214" t="str">
        <f t="shared" si="70"/>
        <v>FC</v>
      </c>
      <c r="F665" s="242">
        <f t="shared" si="68"/>
        <v>5854</v>
      </c>
      <c r="G665" s="274">
        <v>500</v>
      </c>
      <c r="H665" s="241" t="str">
        <f t="shared" si="67"/>
        <v xml:space="preserve">FT Collins </v>
      </c>
      <c r="I665" s="241" t="s">
        <v>847</v>
      </c>
    </row>
    <row r="666" spans="1:9" ht="12.95" customHeight="1" x14ac:dyDescent="0.2">
      <c r="A666" s="274">
        <v>5855</v>
      </c>
      <c r="B666" s="241" t="str">
        <f t="shared" si="69"/>
        <v>EB</v>
      </c>
      <c r="C666" s="243" t="str">
        <f t="shared" si="71"/>
        <v>Harper</v>
      </c>
      <c r="D666" s="275" t="s">
        <v>357</v>
      </c>
      <c r="E666" s="214" t="str">
        <f t="shared" si="70"/>
        <v>EB</v>
      </c>
      <c r="F666" s="242">
        <f t="shared" si="68"/>
        <v>5855</v>
      </c>
      <c r="G666" s="274">
        <v>500</v>
      </c>
      <c r="H666" s="241" t="str">
        <f t="shared" si="67"/>
        <v xml:space="preserve">East Bay Events </v>
      </c>
      <c r="I666" s="241" t="s">
        <v>847</v>
      </c>
    </row>
    <row r="667" spans="1:9" ht="12.95" customHeight="1" x14ac:dyDescent="0.2">
      <c r="A667" s="274">
        <v>5856</v>
      </c>
      <c r="B667" s="241" t="str">
        <f t="shared" si="69"/>
        <v>EB</v>
      </c>
      <c r="C667" s="243" t="str">
        <f t="shared" si="71"/>
        <v>Harper</v>
      </c>
      <c r="D667" s="275" t="s">
        <v>151</v>
      </c>
      <c r="E667" s="214" t="str">
        <f t="shared" si="70"/>
        <v>EB</v>
      </c>
      <c r="F667" s="242">
        <f t="shared" ref="F667:F698" si="72">A667</f>
        <v>5856</v>
      </c>
      <c r="G667" s="274">
        <v>500</v>
      </c>
      <c r="H667" s="241" t="str">
        <f t="shared" si="67"/>
        <v xml:space="preserve">East Bay City </v>
      </c>
      <c r="I667" s="241" t="s">
        <v>847</v>
      </c>
    </row>
    <row r="668" spans="1:9" ht="12.95" customHeight="1" x14ac:dyDescent="0.2">
      <c r="A668" s="274">
        <v>5857</v>
      </c>
      <c r="B668" s="241" t="str">
        <f t="shared" si="69"/>
        <v>FC</v>
      </c>
      <c r="C668" s="243" t="str">
        <f t="shared" si="71"/>
        <v>Babcock</v>
      </c>
      <c r="D668" s="275" t="s">
        <v>152</v>
      </c>
      <c r="E668" s="214" t="str">
        <f t="shared" si="70"/>
        <v>FC</v>
      </c>
      <c r="F668" s="242">
        <f t="shared" si="72"/>
        <v>5857</v>
      </c>
      <c r="G668" s="274">
        <v>500</v>
      </c>
      <c r="H668" s="241" t="str">
        <f t="shared" si="67"/>
        <v xml:space="preserve">Ft. Collins Events </v>
      </c>
      <c r="I668" s="241" t="s">
        <v>847</v>
      </c>
    </row>
    <row r="669" spans="1:9" ht="12.95" customHeight="1" x14ac:dyDescent="0.2">
      <c r="A669" s="274">
        <v>5858</v>
      </c>
      <c r="B669" s="241" t="str">
        <f t="shared" si="69"/>
        <v>RC</v>
      </c>
      <c r="C669" s="243" t="str">
        <f t="shared" si="71"/>
        <v>Fannin</v>
      </c>
      <c r="D669" s="275" t="s">
        <v>153</v>
      </c>
      <c r="E669" s="214" t="str">
        <f t="shared" si="70"/>
        <v>RC</v>
      </c>
      <c r="F669" s="242">
        <f t="shared" si="72"/>
        <v>5858</v>
      </c>
      <c r="G669" s="274">
        <v>500</v>
      </c>
      <c r="H669" s="241" t="str">
        <f t="shared" si="67"/>
        <v xml:space="preserve">Rapid City, SD Ops </v>
      </c>
      <c r="I669" s="241" t="s">
        <v>847</v>
      </c>
    </row>
    <row r="670" spans="1:9" ht="12.95" customHeight="1" x14ac:dyDescent="0.2">
      <c r="A670" s="274">
        <v>5859</v>
      </c>
      <c r="B670" s="241" t="str">
        <f t="shared" si="69"/>
        <v>RS</v>
      </c>
      <c r="C670" s="243" t="str">
        <f t="shared" si="71"/>
        <v>Fannin</v>
      </c>
      <c r="D670" s="275" t="s">
        <v>464</v>
      </c>
      <c r="E670" s="214" t="str">
        <f t="shared" si="70"/>
        <v>RS</v>
      </c>
      <c r="F670" s="242">
        <f t="shared" si="72"/>
        <v>5859</v>
      </c>
      <c r="G670" s="274">
        <v>500</v>
      </c>
      <c r="H670" s="241" t="str">
        <f t="shared" si="67"/>
        <v xml:space="preserve">RapidCity Student Conf </v>
      </c>
      <c r="I670" s="241" t="s">
        <v>847</v>
      </c>
    </row>
    <row r="671" spans="1:9" ht="12.95" customHeight="1" x14ac:dyDescent="0.2">
      <c r="A671" s="274">
        <v>5860</v>
      </c>
      <c r="B671" s="241" t="str">
        <f t="shared" si="69"/>
        <v>BS</v>
      </c>
      <c r="C671" s="243" t="str">
        <f t="shared" si="71"/>
        <v>Matheny</v>
      </c>
      <c r="D671" s="275" t="s">
        <v>1751</v>
      </c>
      <c r="E671" s="214" t="str">
        <f t="shared" si="70"/>
        <v>BS</v>
      </c>
      <c r="F671" s="242">
        <f t="shared" si="72"/>
        <v>5860</v>
      </c>
      <c r="G671" s="274">
        <v>500</v>
      </c>
      <c r="H671" s="241" t="str">
        <f t="shared" si="67"/>
        <v xml:space="preserve">Buffalo Student Conf </v>
      </c>
      <c r="I671" s="241" t="s">
        <v>847</v>
      </c>
    </row>
    <row r="672" spans="1:9" ht="12.95" customHeight="1" x14ac:dyDescent="0.2">
      <c r="A672" s="274">
        <v>5861</v>
      </c>
      <c r="B672" s="241" t="str">
        <f t="shared" si="69"/>
        <v>RM</v>
      </c>
      <c r="C672" s="243" t="str">
        <f t="shared" si="71"/>
        <v>Yabuki</v>
      </c>
      <c r="D672" s="275" t="s">
        <v>939</v>
      </c>
      <c r="E672" s="214" t="str">
        <f t="shared" si="70"/>
        <v>RM</v>
      </c>
      <c r="F672" s="242">
        <f t="shared" si="72"/>
        <v>5861</v>
      </c>
      <c r="G672" s="274">
        <v>500</v>
      </c>
      <c r="H672" s="241" t="str">
        <f t="shared" si="67"/>
        <v xml:space="preserve">Rocky Mtn Events </v>
      </c>
      <c r="I672" s="241" t="s">
        <v>847</v>
      </c>
    </row>
    <row r="673" spans="1:9" ht="12.95" customHeight="1" x14ac:dyDescent="0.2">
      <c r="A673" s="274">
        <v>5863</v>
      </c>
      <c r="B673" s="241" t="str">
        <f t="shared" si="69"/>
        <v>SM</v>
      </c>
      <c r="C673" s="243" t="str">
        <f t="shared" si="71"/>
        <v>Yabuki</v>
      </c>
      <c r="D673" s="275" t="s">
        <v>940</v>
      </c>
      <c r="E673" s="214" t="str">
        <f t="shared" si="70"/>
        <v>SM</v>
      </c>
      <c r="F673" s="242">
        <f t="shared" si="72"/>
        <v>5863</v>
      </c>
      <c r="G673" s="274">
        <v>500</v>
      </c>
      <c r="H673" s="241" t="str">
        <f t="shared" si="67"/>
        <v xml:space="preserve">Southeast Michigan </v>
      </c>
      <c r="I673" s="241" t="s">
        <v>847</v>
      </c>
    </row>
    <row r="674" spans="1:9" ht="12.95" customHeight="1" x14ac:dyDescent="0.2">
      <c r="A674" s="274">
        <v>5866</v>
      </c>
      <c r="B674" s="241" t="str">
        <f t="shared" si="69"/>
        <v>KC</v>
      </c>
      <c r="C674" s="243" t="str">
        <f t="shared" si="71"/>
        <v>Douglass</v>
      </c>
      <c r="D674" s="275" t="s">
        <v>400</v>
      </c>
      <c r="E674" s="214" t="str">
        <f t="shared" si="70"/>
        <v>KC</v>
      </c>
      <c r="F674" s="242">
        <f t="shared" si="72"/>
        <v>5866</v>
      </c>
      <c r="G674" s="274">
        <v>500</v>
      </c>
      <c r="H674" s="241" t="str">
        <f t="shared" si="67"/>
        <v xml:space="preserve">Kansas City </v>
      </c>
      <c r="I674" s="241" t="s">
        <v>847</v>
      </c>
    </row>
    <row r="675" spans="1:9" ht="12.95" customHeight="1" x14ac:dyDescent="0.2">
      <c r="A675" s="274">
        <v>5867</v>
      </c>
      <c r="B675" s="241" t="str">
        <f t="shared" si="69"/>
        <v>NS</v>
      </c>
      <c r="C675" s="243" t="str">
        <f t="shared" si="71"/>
        <v>Yabuki</v>
      </c>
      <c r="D675" s="275" t="s">
        <v>941</v>
      </c>
      <c r="E675" s="214" t="str">
        <f t="shared" si="70"/>
        <v>NS</v>
      </c>
      <c r="F675" s="242">
        <f t="shared" si="72"/>
        <v>5867</v>
      </c>
      <c r="G675" s="274">
        <v>500</v>
      </c>
      <c r="H675" s="241" t="str">
        <f t="shared" si="67"/>
        <v xml:space="preserve">Nebraska State </v>
      </c>
      <c r="I675" s="241" t="s">
        <v>847</v>
      </c>
    </row>
    <row r="676" spans="1:9" ht="12.95" customHeight="1" x14ac:dyDescent="0.2">
      <c r="A676" s="274">
        <v>5868</v>
      </c>
      <c r="B676" s="241" t="str">
        <f t="shared" si="69"/>
        <v>BC</v>
      </c>
      <c r="C676" s="243" t="str">
        <f t="shared" si="71"/>
        <v>Davis</v>
      </c>
      <c r="D676" s="275" t="s">
        <v>154</v>
      </c>
      <c r="E676" s="214" t="str">
        <f t="shared" si="70"/>
        <v>BC</v>
      </c>
      <c r="F676" s="242">
        <f t="shared" si="72"/>
        <v>5868</v>
      </c>
      <c r="G676" s="274">
        <v>500</v>
      </c>
      <c r="H676" s="241" t="str">
        <f t="shared" si="67"/>
        <v>Bakersfield, CA</v>
      </c>
      <c r="I676" s="241" t="s">
        <v>847</v>
      </c>
    </row>
    <row r="677" spans="1:9" ht="12.95" customHeight="1" x14ac:dyDescent="0.2">
      <c r="A677" s="274">
        <v>5870</v>
      </c>
      <c r="B677" s="241" t="str">
        <f t="shared" si="69"/>
        <v>WR</v>
      </c>
      <c r="C677" s="243" t="str">
        <f t="shared" si="71"/>
        <v>Zeigler</v>
      </c>
      <c r="D677" s="275" t="s">
        <v>490</v>
      </c>
      <c r="E677" s="214" t="str">
        <f t="shared" si="70"/>
        <v>WR</v>
      </c>
      <c r="F677" s="242">
        <f t="shared" si="72"/>
        <v>5870</v>
      </c>
      <c r="G677" s="274">
        <v>500</v>
      </c>
      <c r="H677" s="241" t="str">
        <f t="shared" si="67"/>
        <v xml:space="preserve">Western Region Scholarship </v>
      </c>
      <c r="I677" s="241" t="s">
        <v>847</v>
      </c>
    </row>
    <row r="678" spans="1:9" ht="12.95" customHeight="1" x14ac:dyDescent="0.2">
      <c r="A678" s="274">
        <v>5871</v>
      </c>
      <c r="B678" s="241" t="str">
        <f t="shared" si="69"/>
        <v>PC</v>
      </c>
      <c r="C678" s="243" t="str">
        <f t="shared" si="71"/>
        <v>Yabuki</v>
      </c>
      <c r="D678" s="275" t="s">
        <v>942</v>
      </c>
      <c r="E678" s="214" t="str">
        <f t="shared" si="70"/>
        <v>PC</v>
      </c>
      <c r="F678" s="242">
        <f t="shared" si="72"/>
        <v>5871</v>
      </c>
      <c r="G678" s="274">
        <v>500</v>
      </c>
      <c r="H678" s="241" t="str">
        <f t="shared" si="67"/>
        <v xml:space="preserve">Pueblo, CO </v>
      </c>
      <c r="I678" s="241" t="s">
        <v>847</v>
      </c>
    </row>
    <row r="679" spans="1:9" ht="12.95" customHeight="1" x14ac:dyDescent="0.2">
      <c r="A679" s="274">
        <v>5872</v>
      </c>
      <c r="B679" s="241" t="str">
        <f t="shared" si="69"/>
        <v>DC</v>
      </c>
      <c r="C679" s="243" t="str">
        <f t="shared" si="71"/>
        <v>Mills</v>
      </c>
      <c r="D679" s="275" t="s">
        <v>1026</v>
      </c>
      <c r="E679" s="214" t="str">
        <f t="shared" si="70"/>
        <v>DC</v>
      </c>
      <c r="F679" s="242">
        <f t="shared" si="72"/>
        <v>5872</v>
      </c>
      <c r="G679" s="274">
        <v>500</v>
      </c>
      <c r="H679" s="241" t="str">
        <f t="shared" si="67"/>
        <v xml:space="preserve">Denver CO </v>
      </c>
      <c r="I679" s="241" t="s">
        <v>847</v>
      </c>
    </row>
    <row r="680" spans="1:9" ht="12.95" customHeight="1" x14ac:dyDescent="0.2">
      <c r="A680" s="274">
        <v>5873</v>
      </c>
      <c r="B680" s="241" t="str">
        <f t="shared" si="69"/>
        <v>BS</v>
      </c>
      <c r="C680" s="243" t="str">
        <f t="shared" si="71"/>
        <v>Hope</v>
      </c>
      <c r="D680" s="275" t="s">
        <v>316</v>
      </c>
      <c r="E680" s="214" t="str">
        <f t="shared" si="70"/>
        <v>BS</v>
      </c>
      <c r="F680" s="242">
        <f t="shared" si="72"/>
        <v>5873</v>
      </c>
      <c r="G680" s="274">
        <v>500</v>
      </c>
      <c r="H680" s="241" t="str">
        <f t="shared" si="67"/>
        <v xml:space="preserve">Boston Scholar </v>
      </c>
      <c r="I680" s="241" t="s">
        <v>847</v>
      </c>
    </row>
    <row r="681" spans="1:9" ht="12.95" customHeight="1" x14ac:dyDescent="0.2">
      <c r="A681" s="274">
        <v>5874</v>
      </c>
      <c r="B681" s="241" t="str">
        <f t="shared" si="69"/>
        <v>BM</v>
      </c>
      <c r="C681" s="243" t="str">
        <f t="shared" si="71"/>
        <v>Bevan</v>
      </c>
      <c r="D681" s="275" t="s">
        <v>1752</v>
      </c>
      <c r="E681" s="214" t="str">
        <f t="shared" si="70"/>
        <v>BM</v>
      </c>
      <c r="F681" s="242">
        <f t="shared" si="72"/>
        <v>5874</v>
      </c>
      <c r="G681" s="274">
        <v>500</v>
      </c>
      <c r="H681" s="241" t="str">
        <f t="shared" si="67"/>
        <v xml:space="preserve">Bozeman, MT City </v>
      </c>
      <c r="I681" s="241" t="s">
        <v>847</v>
      </c>
    </row>
    <row r="682" spans="1:9" ht="12.95" customHeight="1" x14ac:dyDescent="0.2">
      <c r="A682" s="274">
        <v>5875</v>
      </c>
      <c r="B682" s="241" t="str">
        <f t="shared" si="69"/>
        <v>TA</v>
      </c>
      <c r="C682" s="243" t="str">
        <f t="shared" si="71"/>
        <v>Boyles</v>
      </c>
      <c r="D682" s="275" t="s">
        <v>943</v>
      </c>
      <c r="E682" s="214" t="str">
        <f t="shared" si="70"/>
        <v>TA</v>
      </c>
      <c r="F682" s="242">
        <f t="shared" si="72"/>
        <v>5875</v>
      </c>
      <c r="G682" s="274">
        <v>500</v>
      </c>
      <c r="H682" s="241" t="str">
        <f t="shared" si="67"/>
        <v xml:space="preserve">Tempe Area Scholarships </v>
      </c>
      <c r="I682" s="241" t="s">
        <v>847</v>
      </c>
    </row>
    <row r="683" spans="1:9" ht="12.95" customHeight="1" x14ac:dyDescent="0.2">
      <c r="A683" s="274">
        <v>5876</v>
      </c>
      <c r="B683" s="241" t="str">
        <f t="shared" si="69"/>
        <v>PS</v>
      </c>
      <c r="C683" s="243" t="str">
        <f t="shared" si="71"/>
        <v>Sinclair</v>
      </c>
      <c r="D683" s="275" t="s">
        <v>155</v>
      </c>
      <c r="E683" s="214" t="str">
        <f t="shared" si="70"/>
        <v>PS</v>
      </c>
      <c r="F683" s="242">
        <f t="shared" si="72"/>
        <v>5876</v>
      </c>
      <c r="G683" s="274">
        <v>500</v>
      </c>
      <c r="H683" s="241" t="str">
        <f t="shared" si="67"/>
        <v xml:space="preserve">Portland Scholarships </v>
      </c>
      <c r="I683" s="241" t="s">
        <v>847</v>
      </c>
    </row>
    <row r="684" spans="1:9" ht="12.95" customHeight="1" x14ac:dyDescent="0.2">
      <c r="A684" s="274">
        <v>5878</v>
      </c>
      <c r="B684" s="241" t="str">
        <f t="shared" si="69"/>
        <v>DS</v>
      </c>
      <c r="C684" s="243" t="str">
        <f t="shared" si="71"/>
        <v>Bunyard</v>
      </c>
      <c r="D684" s="275" t="s">
        <v>1005</v>
      </c>
      <c r="E684" s="214" t="str">
        <f t="shared" si="70"/>
        <v>DS</v>
      </c>
      <c r="F684" s="242">
        <f t="shared" si="72"/>
        <v>5878</v>
      </c>
      <c r="G684" s="274">
        <v>500</v>
      </c>
      <c r="H684" s="241" t="str">
        <f t="shared" si="67"/>
        <v xml:space="preserve">Dallas Student Spons </v>
      </c>
      <c r="I684" s="241" t="s">
        <v>847</v>
      </c>
    </row>
    <row r="685" spans="1:9" ht="12.95" customHeight="1" x14ac:dyDescent="0.2">
      <c r="A685" s="274">
        <v>5879</v>
      </c>
      <c r="B685" s="241" t="str">
        <f t="shared" si="69"/>
        <v>AC</v>
      </c>
      <c r="C685" s="243" t="str">
        <f t="shared" ref="C685:C724" si="73">IFERROR(PROPER(MID(D685,SEARCH("{",D685,1)+1,SEARCH("}",D685,1)-SEARCH("{",D685,1)-1)),"")</f>
        <v>Marshall</v>
      </c>
      <c r="D685" s="275" t="s">
        <v>156</v>
      </c>
      <c r="E685" s="214" t="str">
        <f t="shared" si="70"/>
        <v>AC</v>
      </c>
      <c r="F685" s="242">
        <f t="shared" si="72"/>
        <v>5879</v>
      </c>
      <c r="G685" s="274">
        <v>500</v>
      </c>
      <c r="H685" s="241" t="str">
        <f t="shared" si="67"/>
        <v xml:space="preserve">A&amp;M Campus, TX </v>
      </c>
      <c r="I685" s="241" t="s">
        <v>847</v>
      </c>
    </row>
    <row r="686" spans="1:9" ht="12.95" customHeight="1" x14ac:dyDescent="0.2">
      <c r="A686" s="274">
        <v>5880</v>
      </c>
      <c r="B686" s="241" t="str">
        <f t="shared" si="69"/>
        <v>HC</v>
      </c>
      <c r="C686" s="243" t="str">
        <f t="shared" si="73"/>
        <v>Prensner</v>
      </c>
      <c r="D686" s="275" t="s">
        <v>977</v>
      </c>
      <c r="E686" s="214" t="str">
        <f t="shared" si="70"/>
        <v>HC</v>
      </c>
      <c r="F686" s="242">
        <f t="shared" si="72"/>
        <v>5880</v>
      </c>
      <c r="G686" s="274">
        <v>500</v>
      </c>
      <c r="H686" s="241" t="str">
        <f t="shared" si="67"/>
        <v xml:space="preserve">Honolulu City </v>
      </c>
      <c r="I686" s="241" t="s">
        <v>847</v>
      </c>
    </row>
    <row r="687" spans="1:9" ht="12.95" customHeight="1" x14ac:dyDescent="0.2">
      <c r="A687" s="274">
        <v>5881</v>
      </c>
      <c r="B687" s="241" t="str">
        <f t="shared" si="69"/>
        <v>SD</v>
      </c>
      <c r="C687" s="243" t="str">
        <f t="shared" si="73"/>
        <v>Maneevone</v>
      </c>
      <c r="D687" s="275" t="s">
        <v>471</v>
      </c>
      <c r="E687" s="214" t="str">
        <f t="shared" si="70"/>
        <v>SD</v>
      </c>
      <c r="F687" s="242">
        <f t="shared" si="72"/>
        <v>5881</v>
      </c>
      <c r="G687" s="274">
        <v>500</v>
      </c>
      <c r="H687" s="241" t="str">
        <f t="shared" si="67"/>
        <v xml:space="preserve">San Diego Scholarship </v>
      </c>
      <c r="I687" s="241" t="s">
        <v>847</v>
      </c>
    </row>
    <row r="688" spans="1:9" ht="12.95" customHeight="1" x14ac:dyDescent="0.2">
      <c r="A688" s="274">
        <v>5882</v>
      </c>
      <c r="B688" s="241" t="str">
        <f t="shared" si="69"/>
        <v>SL</v>
      </c>
      <c r="C688" s="243" t="str">
        <f t="shared" si="73"/>
        <v>Weston</v>
      </c>
      <c r="D688" s="275" t="s">
        <v>978</v>
      </c>
      <c r="E688" s="214" t="str">
        <f t="shared" si="70"/>
        <v>SL</v>
      </c>
      <c r="F688" s="242">
        <f t="shared" si="72"/>
        <v>5882</v>
      </c>
      <c r="G688" s="274">
        <v>500</v>
      </c>
      <c r="H688" s="241" t="str">
        <f t="shared" si="67"/>
        <v xml:space="preserve">St. Louis Events </v>
      </c>
      <c r="I688" s="241" t="s">
        <v>847</v>
      </c>
    </row>
    <row r="689" spans="1:9" ht="12.95" customHeight="1" x14ac:dyDescent="0.2">
      <c r="A689" s="274">
        <v>5883</v>
      </c>
      <c r="B689" s="241" t="str">
        <f t="shared" si="69"/>
        <v>IC</v>
      </c>
      <c r="C689" s="243" t="str">
        <f t="shared" si="73"/>
        <v>Apgar</v>
      </c>
      <c r="D689" s="275" t="s">
        <v>979</v>
      </c>
      <c r="E689" s="214" t="str">
        <f t="shared" si="70"/>
        <v>IC</v>
      </c>
      <c r="F689" s="242">
        <f t="shared" si="72"/>
        <v>5883</v>
      </c>
      <c r="G689" s="274">
        <v>500</v>
      </c>
      <c r="H689" s="241" t="str">
        <f t="shared" si="67"/>
        <v xml:space="preserve">Irvine CA  Events </v>
      </c>
      <c r="I689" s="241" t="s">
        <v>847</v>
      </c>
    </row>
    <row r="690" spans="1:9" ht="12.95" customHeight="1" x14ac:dyDescent="0.2">
      <c r="A690" s="274">
        <v>5884</v>
      </c>
      <c r="B690" s="241" t="str">
        <f t="shared" si="69"/>
        <v>IC</v>
      </c>
      <c r="C690" s="243" t="str">
        <f t="shared" si="73"/>
        <v>Apgar</v>
      </c>
      <c r="D690" s="275" t="s">
        <v>980</v>
      </c>
      <c r="E690" s="214" t="str">
        <f t="shared" si="70"/>
        <v>IC</v>
      </c>
      <c r="F690" s="242">
        <f t="shared" si="72"/>
        <v>5884</v>
      </c>
      <c r="G690" s="274">
        <v>500</v>
      </c>
      <c r="H690" s="241" t="str">
        <f t="shared" si="67"/>
        <v xml:space="preserve">Irvine CA </v>
      </c>
      <c r="I690" s="241" t="s">
        <v>847</v>
      </c>
    </row>
    <row r="691" spans="1:9" ht="12.95" customHeight="1" x14ac:dyDescent="0.2">
      <c r="A691" s="274">
        <v>5885</v>
      </c>
      <c r="B691" s="241" t="str">
        <f t="shared" si="69"/>
        <v>LS</v>
      </c>
      <c r="C691" s="243" t="str">
        <f t="shared" si="73"/>
        <v>Pearce</v>
      </c>
      <c r="D691" s="275" t="s">
        <v>981</v>
      </c>
      <c r="E691" s="214" t="str">
        <f t="shared" si="70"/>
        <v>LS</v>
      </c>
      <c r="F691" s="242">
        <f t="shared" si="72"/>
        <v>5885</v>
      </c>
      <c r="G691" s="274">
        <v>500</v>
      </c>
      <c r="H691" s="241" t="str">
        <f t="shared" ref="H691:H743" si="74">LEFT(D691,SEARCH("(",D691,1)-1)</f>
        <v xml:space="preserve">LA/Orange Stud Spon </v>
      </c>
      <c r="I691" s="241" t="s">
        <v>847</v>
      </c>
    </row>
    <row r="692" spans="1:9" ht="12.95" customHeight="1" x14ac:dyDescent="0.2">
      <c r="A692" s="274">
        <v>5886</v>
      </c>
      <c r="B692" s="241" t="str">
        <f t="shared" si="69"/>
        <v>RC</v>
      </c>
      <c r="C692" s="243" t="str">
        <f t="shared" si="73"/>
        <v>Zeigler</v>
      </c>
      <c r="D692" s="275" t="s">
        <v>157</v>
      </c>
      <c r="E692" s="214" t="str">
        <f t="shared" si="70"/>
        <v>RC</v>
      </c>
      <c r="F692" s="242">
        <f t="shared" si="72"/>
        <v>5886</v>
      </c>
      <c r="G692" s="274">
        <v>500</v>
      </c>
      <c r="H692" s="241" t="str">
        <f t="shared" si="74"/>
        <v xml:space="preserve">Riverside County, CA </v>
      </c>
      <c r="I692" s="241" t="s">
        <v>847</v>
      </c>
    </row>
    <row r="693" spans="1:9" ht="12.95" customHeight="1" x14ac:dyDescent="0.2">
      <c r="A693" s="274">
        <v>5887</v>
      </c>
      <c r="B693" s="241" t="str">
        <f t="shared" si="69"/>
        <v>AA</v>
      </c>
      <c r="C693" s="243" t="str">
        <f t="shared" si="73"/>
        <v>Champoux</v>
      </c>
      <c r="D693" s="275" t="s">
        <v>982</v>
      </c>
      <c r="E693" s="214" t="str">
        <f t="shared" si="70"/>
        <v>AA</v>
      </c>
      <c r="F693" s="242">
        <f t="shared" si="72"/>
        <v>5887</v>
      </c>
      <c r="G693" s="274">
        <v>500</v>
      </c>
      <c r="H693" s="241" t="str">
        <f t="shared" si="74"/>
        <v xml:space="preserve">Ann Arbor Conf/Ret </v>
      </c>
      <c r="I693" s="241" t="s">
        <v>847</v>
      </c>
    </row>
    <row r="694" spans="1:9" ht="12.95" customHeight="1" x14ac:dyDescent="0.2">
      <c r="A694" s="274">
        <v>5888</v>
      </c>
      <c r="B694" s="241" t="str">
        <f t="shared" si="69"/>
        <v>AA</v>
      </c>
      <c r="C694" s="243" t="str">
        <f t="shared" si="73"/>
        <v>Champoux</v>
      </c>
      <c r="D694" s="275" t="s">
        <v>983</v>
      </c>
      <c r="E694" s="214" t="str">
        <f t="shared" si="70"/>
        <v>AA</v>
      </c>
      <c r="F694" s="242">
        <f t="shared" si="72"/>
        <v>5888</v>
      </c>
      <c r="G694" s="274">
        <v>500</v>
      </c>
      <c r="H694" s="241" t="str">
        <f t="shared" si="74"/>
        <v xml:space="preserve">Ann Arbor Events </v>
      </c>
      <c r="I694" s="241" t="s">
        <v>847</v>
      </c>
    </row>
    <row r="695" spans="1:9" ht="12.95" customHeight="1" x14ac:dyDescent="0.2">
      <c r="A695" s="274">
        <v>5889</v>
      </c>
      <c r="B695" s="241" t="str">
        <f t="shared" si="69"/>
        <v>AS</v>
      </c>
      <c r="C695" s="243" t="str">
        <f t="shared" si="73"/>
        <v>Marshall</v>
      </c>
      <c r="D695" s="275" t="s">
        <v>158</v>
      </c>
      <c r="E695" s="214" t="str">
        <f t="shared" si="70"/>
        <v>AS</v>
      </c>
      <c r="F695" s="242">
        <f t="shared" si="72"/>
        <v>5889</v>
      </c>
      <c r="G695" s="274">
        <v>500</v>
      </c>
      <c r="H695" s="241" t="str">
        <f t="shared" si="74"/>
        <v xml:space="preserve">A&amp;M Student Sponsorships </v>
      </c>
      <c r="I695" s="241" t="s">
        <v>847</v>
      </c>
    </row>
    <row r="696" spans="1:9" ht="12.95" customHeight="1" x14ac:dyDescent="0.2">
      <c r="A696" s="274">
        <v>5890</v>
      </c>
      <c r="B696" s="241" t="str">
        <f t="shared" si="69"/>
        <v>UA</v>
      </c>
      <c r="C696" s="243" t="str">
        <f t="shared" si="73"/>
        <v>Bunyard</v>
      </c>
      <c r="D696" s="275" t="s">
        <v>1006</v>
      </c>
      <c r="E696" s="214" t="str">
        <f t="shared" si="70"/>
        <v>UA</v>
      </c>
      <c r="F696" s="242">
        <f t="shared" si="72"/>
        <v>5890</v>
      </c>
      <c r="G696" s="274">
        <v>500</v>
      </c>
      <c r="H696" s="241" t="str">
        <f t="shared" si="74"/>
        <v xml:space="preserve">UT Arlington </v>
      </c>
      <c r="I696" s="241" t="s">
        <v>847</v>
      </c>
    </row>
    <row r="697" spans="1:9" ht="12.95" customHeight="1" x14ac:dyDescent="0.2">
      <c r="A697" s="274">
        <v>5891</v>
      </c>
      <c r="B697" s="241" t="str">
        <f t="shared" si="69"/>
        <v>UM</v>
      </c>
      <c r="C697" s="243" t="str">
        <f t="shared" si="73"/>
        <v>Bunyard</v>
      </c>
      <c r="D697" s="275" t="s">
        <v>987</v>
      </c>
      <c r="E697" s="214" t="str">
        <f t="shared" si="70"/>
        <v>UM</v>
      </c>
      <c r="F697" s="242">
        <f t="shared" si="72"/>
        <v>5891</v>
      </c>
      <c r="G697" s="274">
        <v>500</v>
      </c>
      <c r="H697" s="241" t="str">
        <f t="shared" si="74"/>
        <v xml:space="preserve">UTD Ministry </v>
      </c>
      <c r="I697" s="241" t="s">
        <v>847</v>
      </c>
    </row>
    <row r="698" spans="1:9" ht="12.95" customHeight="1" x14ac:dyDescent="0.2">
      <c r="A698" s="274">
        <v>5892</v>
      </c>
      <c r="B698" s="241" t="str">
        <f t="shared" si="69"/>
        <v>RI</v>
      </c>
      <c r="C698" s="243" t="str">
        <f t="shared" si="73"/>
        <v>Larson</v>
      </c>
      <c r="D698" s="275" t="s">
        <v>945</v>
      </c>
      <c r="E698" s="214" t="str">
        <f t="shared" si="70"/>
        <v>RI</v>
      </c>
      <c r="F698" s="242">
        <f t="shared" si="72"/>
        <v>5892</v>
      </c>
      <c r="G698" s="274">
        <v>500</v>
      </c>
      <c r="H698" s="241" t="str">
        <f t="shared" si="74"/>
        <v xml:space="preserve">Rhode Island </v>
      </c>
      <c r="I698" s="241" t="s">
        <v>847</v>
      </c>
    </row>
    <row r="699" spans="1:9" ht="12.95" customHeight="1" x14ac:dyDescent="0.2">
      <c r="A699" s="274">
        <v>5894</v>
      </c>
      <c r="B699" s="241" t="str">
        <f t="shared" si="69"/>
        <v>M&amp;</v>
      </c>
      <c r="C699" s="243" t="str">
        <f t="shared" si="73"/>
        <v>Webster</v>
      </c>
      <c r="D699" s="275" t="s">
        <v>813</v>
      </c>
      <c r="E699" s="214" t="str">
        <f t="shared" si="70"/>
        <v>M&amp;</v>
      </c>
      <c r="F699" s="242">
        <f t="shared" ref="F699:F726" si="75">A699</f>
        <v>5894</v>
      </c>
      <c r="G699" s="274">
        <v>500</v>
      </c>
      <c r="H699" s="241" t="str">
        <f t="shared" si="74"/>
        <v xml:space="preserve">Maine &amp; New Hamp </v>
      </c>
      <c r="I699" s="241" t="s">
        <v>847</v>
      </c>
    </row>
    <row r="700" spans="1:9" ht="12.95" customHeight="1" x14ac:dyDescent="0.2">
      <c r="A700" s="274">
        <v>5895</v>
      </c>
      <c r="B700" s="241" t="str">
        <f t="shared" si="69"/>
        <v>BE</v>
      </c>
      <c r="C700" s="243" t="str">
        <f t="shared" si="73"/>
        <v>Hope</v>
      </c>
      <c r="D700" s="275" t="s">
        <v>195</v>
      </c>
      <c r="E700" s="214" t="str">
        <f t="shared" si="70"/>
        <v>BE</v>
      </c>
      <c r="F700" s="242">
        <f t="shared" si="75"/>
        <v>5895</v>
      </c>
      <c r="G700" s="274">
        <v>500</v>
      </c>
      <c r="H700" s="241" t="str">
        <f t="shared" si="74"/>
        <v xml:space="preserve">Boston Events </v>
      </c>
      <c r="I700" s="241" t="s">
        <v>847</v>
      </c>
    </row>
    <row r="701" spans="1:9" ht="12.95" customHeight="1" x14ac:dyDescent="0.2">
      <c r="A701" s="274">
        <v>5896</v>
      </c>
      <c r="B701" s="241" t="str">
        <f t="shared" si="69"/>
        <v>NR</v>
      </c>
      <c r="C701" s="243" t="str">
        <f t="shared" si="73"/>
        <v>Larson</v>
      </c>
      <c r="D701" s="275" t="s">
        <v>944</v>
      </c>
      <c r="E701" s="214" t="str">
        <f t="shared" si="70"/>
        <v>NR</v>
      </c>
      <c r="F701" s="242">
        <f t="shared" si="75"/>
        <v>5896</v>
      </c>
      <c r="G701" s="274">
        <v>500</v>
      </c>
      <c r="H701" s="241" t="str">
        <f t="shared" si="74"/>
        <v xml:space="preserve">NE Region Events </v>
      </c>
      <c r="I701" s="241" t="s">
        <v>847</v>
      </c>
    </row>
    <row r="702" spans="1:9" ht="12.95" customHeight="1" x14ac:dyDescent="0.2">
      <c r="A702" s="274">
        <v>5897</v>
      </c>
      <c r="B702" s="241" t="str">
        <f t="shared" si="69"/>
        <v>BS</v>
      </c>
      <c r="C702" s="243" t="str">
        <f t="shared" si="73"/>
        <v>Matheny</v>
      </c>
      <c r="D702" s="275" t="s">
        <v>1753</v>
      </c>
      <c r="E702" s="214" t="str">
        <f t="shared" si="70"/>
        <v>BS</v>
      </c>
      <c r="F702" s="242">
        <f t="shared" si="75"/>
        <v>5897</v>
      </c>
      <c r="G702" s="274">
        <v>500</v>
      </c>
      <c r="H702" s="241" t="str">
        <f t="shared" si="74"/>
        <v xml:space="preserve">Buffalo Special </v>
      </c>
      <c r="I702" s="241" t="s">
        <v>847</v>
      </c>
    </row>
    <row r="703" spans="1:9" ht="12.95" customHeight="1" x14ac:dyDescent="0.2">
      <c r="A703" s="274">
        <v>5898</v>
      </c>
      <c r="B703" s="241" t="str">
        <f t="shared" si="69"/>
        <v>DA</v>
      </c>
      <c r="C703" s="243" t="str">
        <f t="shared" si="73"/>
        <v>Bunyard</v>
      </c>
      <c r="D703" s="275" t="s">
        <v>984</v>
      </c>
      <c r="E703" s="214" t="str">
        <f t="shared" si="70"/>
        <v>DA</v>
      </c>
      <c r="F703" s="242">
        <f t="shared" si="75"/>
        <v>5898</v>
      </c>
      <c r="G703" s="274">
        <v>500</v>
      </c>
      <c r="H703" s="241" t="str">
        <f t="shared" si="74"/>
        <v xml:space="preserve">Dallas Area Internships </v>
      </c>
      <c r="I703" s="241" t="s">
        <v>847</v>
      </c>
    </row>
    <row r="704" spans="1:9" ht="12.95" customHeight="1" x14ac:dyDescent="0.2">
      <c r="A704" s="274">
        <v>5899</v>
      </c>
      <c r="B704" s="241" t="str">
        <f t="shared" si="69"/>
        <v>MS</v>
      </c>
      <c r="C704" s="243" t="str">
        <f t="shared" si="73"/>
        <v/>
      </c>
      <c r="D704" s="275" t="s">
        <v>241</v>
      </c>
      <c r="E704" s="214" t="str">
        <f t="shared" si="70"/>
        <v>MS</v>
      </c>
      <c r="F704" s="242">
        <f t="shared" si="75"/>
        <v>5899</v>
      </c>
      <c r="G704" s="274">
        <v>500</v>
      </c>
      <c r="H704" s="241" t="str">
        <f t="shared" si="74"/>
        <v xml:space="preserve">Mitchell Special </v>
      </c>
      <c r="I704" s="241" t="s">
        <v>848</v>
      </c>
    </row>
    <row r="705" spans="1:9" ht="12.95" customHeight="1" x14ac:dyDescent="0.2">
      <c r="A705" s="274">
        <v>5900</v>
      </c>
      <c r="B705" s="241" t="str">
        <f t="shared" si="69"/>
        <v>LC</v>
      </c>
      <c r="C705" s="243" t="str">
        <f t="shared" si="73"/>
        <v>Pearce</v>
      </c>
      <c r="D705" s="275" t="s">
        <v>412</v>
      </c>
      <c r="E705" s="214" t="str">
        <f t="shared" si="70"/>
        <v>LC</v>
      </c>
      <c r="F705" s="242">
        <f t="shared" si="75"/>
        <v>5900</v>
      </c>
      <c r="G705" s="274">
        <v>500</v>
      </c>
      <c r="H705" s="241" t="str">
        <f t="shared" si="74"/>
        <v xml:space="preserve">LA County Events </v>
      </c>
      <c r="I705" s="241" t="s">
        <v>847</v>
      </c>
    </row>
    <row r="706" spans="1:9" ht="12.95" customHeight="1" x14ac:dyDescent="0.2">
      <c r="A706" s="274">
        <v>5901</v>
      </c>
      <c r="B706" s="241" t="str">
        <f t="shared" si="69"/>
        <v>LO</v>
      </c>
      <c r="C706" s="243" t="str">
        <f t="shared" si="73"/>
        <v>Pearce</v>
      </c>
      <c r="D706" s="275" t="s">
        <v>843</v>
      </c>
      <c r="E706" s="214" t="str">
        <f t="shared" si="70"/>
        <v>LO</v>
      </c>
      <c r="F706" s="242">
        <f t="shared" si="75"/>
        <v>5901</v>
      </c>
      <c r="G706" s="274">
        <v>500</v>
      </c>
      <c r="H706" s="241" t="str">
        <f t="shared" si="74"/>
        <v xml:space="preserve">LA/SoCal Ops </v>
      </c>
      <c r="I706" s="241" t="s">
        <v>847</v>
      </c>
    </row>
    <row r="707" spans="1:9" ht="12.95" customHeight="1" x14ac:dyDescent="0.2">
      <c r="A707" s="274">
        <v>5902</v>
      </c>
      <c r="B707" s="241" t="str">
        <f t="shared" ref="B707:B742" si="76">E707</f>
        <v>SJ</v>
      </c>
      <c r="C707" s="243" t="str">
        <f t="shared" si="73"/>
        <v>Zeigler</v>
      </c>
      <c r="D707" s="275" t="s">
        <v>159</v>
      </c>
      <c r="E707" s="214" t="str">
        <f t="shared" ref="E707:E742" si="77">LEFT(D707,1)&amp;MID(D707,SEARCH(" ",D707,1)+1,1)</f>
        <v>SJ</v>
      </c>
      <c r="F707" s="242">
        <f t="shared" si="75"/>
        <v>5902</v>
      </c>
      <c r="G707" s="274">
        <v>500</v>
      </c>
      <c r="H707" s="241" t="str">
        <f t="shared" si="74"/>
        <v xml:space="preserve">San Jose, CA </v>
      </c>
      <c r="I707" s="241" t="s">
        <v>847</v>
      </c>
    </row>
    <row r="708" spans="1:9" ht="12.95" customHeight="1" x14ac:dyDescent="0.2">
      <c r="A708" s="274">
        <v>5903</v>
      </c>
      <c r="B708" s="241" t="str">
        <f t="shared" si="76"/>
        <v>VS</v>
      </c>
      <c r="C708" s="243" t="str">
        <f t="shared" si="73"/>
        <v>Yabuki</v>
      </c>
      <c r="D708" s="275" t="s">
        <v>985</v>
      </c>
      <c r="E708" s="214" t="str">
        <f t="shared" si="77"/>
        <v>VS</v>
      </c>
      <c r="F708" s="242">
        <f t="shared" si="75"/>
        <v>5903</v>
      </c>
      <c r="G708" s="274">
        <v>500</v>
      </c>
      <c r="H708" s="241" t="str">
        <f t="shared" si="74"/>
        <v xml:space="preserve">Vermillion, SD </v>
      </c>
      <c r="I708" s="241" t="s">
        <v>847</v>
      </c>
    </row>
    <row r="709" spans="1:9" ht="12.95" customHeight="1" x14ac:dyDescent="0.2">
      <c r="A709" s="274">
        <v>5904</v>
      </c>
      <c r="B709" s="241" t="str">
        <f t="shared" si="76"/>
        <v>CT</v>
      </c>
      <c r="C709" s="243" t="str">
        <f t="shared" si="73"/>
        <v/>
      </c>
      <c r="D709" s="275" t="s">
        <v>207</v>
      </c>
      <c r="E709" s="214" t="str">
        <f t="shared" si="77"/>
        <v>CT</v>
      </c>
      <c r="F709" s="242">
        <f t="shared" si="75"/>
        <v>5904</v>
      </c>
      <c r="G709" s="274">
        <v>500</v>
      </c>
      <c r="H709" s="241" t="str">
        <f t="shared" si="74"/>
        <v xml:space="preserve">Crowell, Teri </v>
      </c>
      <c r="I709" s="241" t="s">
        <v>849</v>
      </c>
    </row>
    <row r="710" spans="1:9" ht="12.95" customHeight="1" x14ac:dyDescent="0.2">
      <c r="A710" s="274">
        <v>5905</v>
      </c>
      <c r="B710" s="241" t="str">
        <f t="shared" si="76"/>
        <v>CS</v>
      </c>
      <c r="C710" s="243" t="str">
        <f t="shared" si="73"/>
        <v/>
      </c>
      <c r="D710" s="275" t="s">
        <v>339</v>
      </c>
      <c r="E710" s="214" t="str">
        <f t="shared" si="77"/>
        <v>CS</v>
      </c>
      <c r="F710" s="242">
        <f t="shared" si="75"/>
        <v>5905</v>
      </c>
      <c r="G710" s="274">
        <v>500</v>
      </c>
      <c r="H710" s="241" t="str">
        <f t="shared" si="74"/>
        <v xml:space="preserve">Crowell Special </v>
      </c>
      <c r="I710" s="241" t="s">
        <v>848</v>
      </c>
    </row>
    <row r="711" spans="1:9" ht="12.95" customHeight="1" x14ac:dyDescent="0.2">
      <c r="A711" s="274">
        <v>5906</v>
      </c>
      <c r="B711" s="241" t="str">
        <f t="shared" si="76"/>
        <v>ZS</v>
      </c>
      <c r="C711" s="243" t="str">
        <f t="shared" si="73"/>
        <v/>
      </c>
      <c r="D711" s="275" t="s">
        <v>501</v>
      </c>
      <c r="E711" s="214" t="str">
        <f t="shared" si="77"/>
        <v>ZS</v>
      </c>
      <c r="F711" s="242">
        <f t="shared" si="75"/>
        <v>5906</v>
      </c>
      <c r="G711" s="274">
        <v>500</v>
      </c>
      <c r="H711" s="241" t="str">
        <f t="shared" si="74"/>
        <v xml:space="preserve">Zull, Special  </v>
      </c>
      <c r="I711" s="241" t="s">
        <v>848</v>
      </c>
    </row>
    <row r="712" spans="1:9" ht="12.95" customHeight="1" x14ac:dyDescent="0.2">
      <c r="A712" s="274">
        <v>5907</v>
      </c>
      <c r="B712" s="241" t="str">
        <f t="shared" si="76"/>
        <v>LN</v>
      </c>
      <c r="C712" s="243" t="str">
        <f t="shared" si="73"/>
        <v/>
      </c>
      <c r="D712" s="275" t="s">
        <v>1074</v>
      </c>
      <c r="E712" s="214" t="str">
        <f t="shared" si="77"/>
        <v>LN</v>
      </c>
      <c r="F712" s="242">
        <f t="shared" si="75"/>
        <v>5907</v>
      </c>
      <c r="G712" s="274">
        <v>500</v>
      </c>
      <c r="H712" s="241" t="str">
        <f t="shared" si="74"/>
        <v xml:space="preserve">Lee-Paul, Nancy </v>
      </c>
      <c r="I712" s="241" t="s">
        <v>849</v>
      </c>
    </row>
    <row r="713" spans="1:9" ht="12.95" customHeight="1" x14ac:dyDescent="0.2">
      <c r="A713" s="274">
        <v>5908</v>
      </c>
      <c r="B713" s="241" t="str">
        <f t="shared" si="76"/>
        <v>CG</v>
      </c>
      <c r="C713" s="243" t="str">
        <f t="shared" si="73"/>
        <v/>
      </c>
      <c r="D713" s="275" t="s">
        <v>1076</v>
      </c>
      <c r="E713" s="214" t="str">
        <f t="shared" si="77"/>
        <v>CG</v>
      </c>
      <c r="F713" s="242">
        <f t="shared" si="75"/>
        <v>5908</v>
      </c>
      <c r="G713" s="274">
        <v>500</v>
      </c>
      <c r="H713" s="241" t="str">
        <f t="shared" si="74"/>
        <v xml:space="preserve">Classen, Gary </v>
      </c>
      <c r="I713" s="241" t="s">
        <v>849</v>
      </c>
    </row>
    <row r="714" spans="1:9" ht="12.95" customHeight="1" x14ac:dyDescent="0.2">
      <c r="A714" s="274">
        <v>5910</v>
      </c>
      <c r="B714" s="241" t="str">
        <f t="shared" si="76"/>
        <v>SD</v>
      </c>
      <c r="C714" s="243" t="str">
        <f t="shared" si="73"/>
        <v>Maneevone</v>
      </c>
      <c r="D714" s="275" t="s">
        <v>470</v>
      </c>
      <c r="E714" s="214" t="str">
        <f t="shared" si="77"/>
        <v>SD</v>
      </c>
      <c r="F714" s="242">
        <f t="shared" si="75"/>
        <v>5910</v>
      </c>
      <c r="G714" s="274">
        <v>500</v>
      </c>
      <c r="H714" s="241" t="str">
        <f t="shared" si="74"/>
        <v xml:space="preserve">San Diego Events </v>
      </c>
      <c r="I714" s="241" t="s">
        <v>847</v>
      </c>
    </row>
    <row r="715" spans="1:9" ht="12.95" customHeight="1" x14ac:dyDescent="0.2">
      <c r="A715" s="274">
        <v>5911</v>
      </c>
      <c r="B715" s="241" t="str">
        <f t="shared" si="76"/>
        <v>DB</v>
      </c>
      <c r="C715" s="243" t="str">
        <f t="shared" si="73"/>
        <v/>
      </c>
      <c r="D715" s="275" t="s">
        <v>1078</v>
      </c>
      <c r="E715" s="214" t="str">
        <f t="shared" si="77"/>
        <v>DB</v>
      </c>
      <c r="F715" s="242">
        <f t="shared" si="75"/>
        <v>5911</v>
      </c>
      <c r="G715" s="274">
        <v>500</v>
      </c>
      <c r="H715" s="241" t="str">
        <f t="shared" si="74"/>
        <v xml:space="preserve">Dorsch, Bob </v>
      </c>
      <c r="I715" s="241" t="s">
        <v>849</v>
      </c>
    </row>
    <row r="716" spans="1:9" ht="12.95" customHeight="1" x14ac:dyDescent="0.2">
      <c r="A716" s="274">
        <v>5912</v>
      </c>
      <c r="B716" s="241" t="str">
        <f t="shared" si="76"/>
        <v>HL</v>
      </c>
      <c r="C716" s="243" t="str">
        <f t="shared" si="73"/>
        <v/>
      </c>
      <c r="D716" s="275" t="s">
        <v>385</v>
      </c>
      <c r="E716" s="214" t="str">
        <f t="shared" si="77"/>
        <v>HL</v>
      </c>
      <c r="F716" s="242">
        <f t="shared" si="75"/>
        <v>5912</v>
      </c>
      <c r="G716" s="274">
        <v>500</v>
      </c>
      <c r="H716" s="241" t="str">
        <f t="shared" si="74"/>
        <v xml:space="preserve">Harper, Leon </v>
      </c>
      <c r="I716" s="241" t="s">
        <v>849</v>
      </c>
    </row>
    <row r="717" spans="1:9" ht="12.95" customHeight="1" x14ac:dyDescent="0.2">
      <c r="A717" s="274">
        <v>5913</v>
      </c>
      <c r="B717" s="241" t="str">
        <f t="shared" si="76"/>
        <v>HS</v>
      </c>
      <c r="C717" s="243" t="str">
        <f t="shared" si="73"/>
        <v/>
      </c>
      <c r="D717" s="275" t="s">
        <v>384</v>
      </c>
      <c r="E717" s="214" t="str">
        <f t="shared" si="77"/>
        <v>HS</v>
      </c>
      <c r="F717" s="242">
        <f t="shared" si="75"/>
        <v>5913</v>
      </c>
      <c r="G717" s="274">
        <v>500</v>
      </c>
      <c r="H717" s="241" t="str">
        <f t="shared" si="74"/>
        <v xml:space="preserve">Harper Special </v>
      </c>
      <c r="I717" s="241" t="s">
        <v>848</v>
      </c>
    </row>
    <row r="718" spans="1:9" ht="12.95" customHeight="1" x14ac:dyDescent="0.2">
      <c r="A718" s="274">
        <v>5914</v>
      </c>
      <c r="B718" s="241" t="str">
        <f t="shared" si="76"/>
        <v>DJ</v>
      </c>
      <c r="C718" s="243" t="str">
        <f t="shared" si="73"/>
        <v/>
      </c>
      <c r="D718" s="275" t="s">
        <v>1079</v>
      </c>
      <c r="E718" s="214" t="str">
        <f t="shared" si="77"/>
        <v>DJ</v>
      </c>
      <c r="F718" s="242">
        <f t="shared" si="75"/>
        <v>5914</v>
      </c>
      <c r="G718" s="274">
        <v>500</v>
      </c>
      <c r="H718" s="241" t="str">
        <f t="shared" si="74"/>
        <v xml:space="preserve">Dykstra, Judy &amp; Doug </v>
      </c>
      <c r="I718" s="241" t="s">
        <v>849</v>
      </c>
    </row>
    <row r="719" spans="1:9" ht="12.95" customHeight="1" x14ac:dyDescent="0.2">
      <c r="A719" s="274">
        <v>5916</v>
      </c>
      <c r="B719" s="241" t="str">
        <f t="shared" si="76"/>
        <v>WD</v>
      </c>
      <c r="C719" s="243" t="str">
        <f t="shared" si="73"/>
        <v/>
      </c>
      <c r="D719" s="275" t="s">
        <v>1080</v>
      </c>
      <c r="E719" s="214" t="str">
        <f t="shared" si="77"/>
        <v>WD</v>
      </c>
      <c r="F719" s="242">
        <f t="shared" si="75"/>
        <v>5916</v>
      </c>
      <c r="G719" s="274">
        <v>500</v>
      </c>
      <c r="H719" s="241" t="str">
        <f t="shared" si="74"/>
        <v xml:space="preserve">Washington, Dennis </v>
      </c>
      <c r="I719" s="241" t="s">
        <v>849</v>
      </c>
    </row>
    <row r="720" spans="1:9" ht="12.95" customHeight="1" x14ac:dyDescent="0.2">
      <c r="A720" s="274">
        <v>5917</v>
      </c>
      <c r="B720" s="241" t="str">
        <f t="shared" si="76"/>
        <v>CS</v>
      </c>
      <c r="C720" s="243" t="str">
        <f t="shared" si="73"/>
        <v/>
      </c>
      <c r="D720" s="275" t="s">
        <v>329</v>
      </c>
      <c r="E720" s="214" t="str">
        <f t="shared" si="77"/>
        <v>CS</v>
      </c>
      <c r="F720" s="242">
        <f t="shared" si="75"/>
        <v>5917</v>
      </c>
      <c r="G720" s="274">
        <v>500</v>
      </c>
      <c r="H720" s="241" t="str">
        <f t="shared" si="74"/>
        <v xml:space="preserve">Chan, Samuel </v>
      </c>
      <c r="I720" s="241" t="s">
        <v>849</v>
      </c>
    </row>
    <row r="721" spans="1:9" ht="12.95" customHeight="1" x14ac:dyDescent="0.2">
      <c r="A721" s="274">
        <v>5918</v>
      </c>
      <c r="B721" s="241" t="str">
        <f t="shared" si="76"/>
        <v>WJ</v>
      </c>
      <c r="C721" s="243" t="str">
        <f t="shared" si="73"/>
        <v/>
      </c>
      <c r="D721" s="275" t="s">
        <v>1081</v>
      </c>
      <c r="E721" s="214" t="str">
        <f t="shared" si="77"/>
        <v>WJ</v>
      </c>
      <c r="F721" s="242">
        <f t="shared" si="75"/>
        <v>5918</v>
      </c>
      <c r="G721" s="274">
        <v>500</v>
      </c>
      <c r="H721" s="241" t="str">
        <f t="shared" si="74"/>
        <v xml:space="preserve">Weir, John </v>
      </c>
      <c r="I721" s="241" t="s">
        <v>849</v>
      </c>
    </row>
    <row r="722" spans="1:9" ht="12.95" customHeight="1" x14ac:dyDescent="0.2">
      <c r="A722" s="274">
        <v>5920</v>
      </c>
      <c r="B722" s="241" t="str">
        <f t="shared" si="76"/>
        <v>WR</v>
      </c>
      <c r="C722" s="243" t="str">
        <f t="shared" si="73"/>
        <v/>
      </c>
      <c r="D722" s="275" t="s">
        <v>1082</v>
      </c>
      <c r="E722" s="214" t="str">
        <f t="shared" si="77"/>
        <v>WR</v>
      </c>
      <c r="F722" s="242">
        <f t="shared" si="75"/>
        <v>5920</v>
      </c>
      <c r="G722" s="274">
        <v>500</v>
      </c>
      <c r="H722" s="241" t="str">
        <f t="shared" si="74"/>
        <v xml:space="preserve">Woo, Rebecca </v>
      </c>
      <c r="I722" s="241" t="s">
        <v>849</v>
      </c>
    </row>
    <row r="723" spans="1:9" ht="12.95" customHeight="1" x14ac:dyDescent="0.2">
      <c r="A723" s="274">
        <v>5921</v>
      </c>
      <c r="B723" s="241" t="str">
        <f t="shared" si="76"/>
        <v>RD</v>
      </c>
      <c r="C723" s="243" t="str">
        <f t="shared" si="73"/>
        <v/>
      </c>
      <c r="D723" s="275" t="s">
        <v>717</v>
      </c>
      <c r="E723" s="214" t="str">
        <f t="shared" si="77"/>
        <v>RD</v>
      </c>
      <c r="F723" s="242">
        <f t="shared" si="75"/>
        <v>5921</v>
      </c>
      <c r="G723" s="274">
        <v>500</v>
      </c>
      <c r="H723" s="241" t="str">
        <f t="shared" si="74"/>
        <v xml:space="preserve">Raybon, D. </v>
      </c>
      <c r="I723" s="241" t="s">
        <v>849</v>
      </c>
    </row>
    <row r="724" spans="1:9" ht="12.95" customHeight="1" x14ac:dyDescent="0.2">
      <c r="A724" s="274">
        <v>5922</v>
      </c>
      <c r="B724" s="241" t="str">
        <f t="shared" si="76"/>
        <v>KR</v>
      </c>
      <c r="C724" s="243" t="str">
        <f t="shared" si="73"/>
        <v/>
      </c>
      <c r="D724" s="275" t="s">
        <v>1083</v>
      </c>
      <c r="E724" s="214" t="str">
        <f t="shared" si="77"/>
        <v>KR</v>
      </c>
      <c r="F724" s="242">
        <f t="shared" si="75"/>
        <v>5922</v>
      </c>
      <c r="G724" s="274">
        <v>500</v>
      </c>
      <c r="H724" s="241" t="str">
        <f t="shared" si="74"/>
        <v xml:space="preserve">Kopp, Rob </v>
      </c>
      <c r="I724" s="241" t="s">
        <v>849</v>
      </c>
    </row>
    <row r="725" spans="1:9" ht="12.95" customHeight="1" x14ac:dyDescent="0.2">
      <c r="A725" s="274">
        <v>5923</v>
      </c>
      <c r="B725" s="241" t="str">
        <f t="shared" si="76"/>
        <v>RM</v>
      </c>
      <c r="C725" s="243" t="str">
        <f t="shared" ref="C725:C742" si="78">IFERROR(PROPER(MID(D725,SEARCH("{",D725,1)+1,SEARCH("}",D725,1)-SEARCH("{",D725,1)-1)),"")</f>
        <v/>
      </c>
      <c r="D725" s="275" t="s">
        <v>254</v>
      </c>
      <c r="E725" s="214" t="str">
        <f t="shared" si="77"/>
        <v>RM</v>
      </c>
      <c r="F725" s="242">
        <f t="shared" si="75"/>
        <v>5923</v>
      </c>
      <c r="G725" s="274">
        <v>500</v>
      </c>
      <c r="H725" s="241" t="str">
        <f t="shared" si="74"/>
        <v xml:space="preserve">Redding, Millie </v>
      </c>
      <c r="I725" s="241" t="s">
        <v>849</v>
      </c>
    </row>
    <row r="726" spans="1:9" ht="12.95" customHeight="1" x14ac:dyDescent="0.2">
      <c r="A726" s="274">
        <v>5925</v>
      </c>
      <c r="B726" s="241" t="str">
        <f t="shared" si="76"/>
        <v>BD</v>
      </c>
      <c r="C726" s="243" t="str">
        <f t="shared" si="78"/>
        <v/>
      </c>
      <c r="D726" s="275" t="s">
        <v>1086</v>
      </c>
      <c r="E726" s="214" t="str">
        <f t="shared" si="77"/>
        <v>BD</v>
      </c>
      <c r="F726" s="242">
        <f t="shared" si="75"/>
        <v>5925</v>
      </c>
      <c r="G726" s="274">
        <v>500</v>
      </c>
      <c r="H726" s="241" t="str">
        <f t="shared" si="74"/>
        <v xml:space="preserve">Bastian, D&amp;P </v>
      </c>
      <c r="I726" s="241" t="s">
        <v>849</v>
      </c>
    </row>
    <row r="727" spans="1:9" ht="12.95" customHeight="1" x14ac:dyDescent="0.2">
      <c r="A727" s="274">
        <v>5927</v>
      </c>
      <c r="B727" s="241" t="str">
        <f t="shared" si="76"/>
        <v>JG</v>
      </c>
      <c r="C727" s="243" t="str">
        <f t="shared" si="78"/>
        <v/>
      </c>
      <c r="D727" s="275" t="s">
        <v>1087</v>
      </c>
      <c r="E727" s="214" t="str">
        <f t="shared" si="77"/>
        <v>JG</v>
      </c>
      <c r="F727" s="242">
        <v>5927</v>
      </c>
      <c r="G727" s="274">
        <v>500</v>
      </c>
      <c r="H727" s="241" t="str">
        <f t="shared" si="74"/>
        <v xml:space="preserve">Johnson, Gerg &amp; Liz </v>
      </c>
      <c r="I727" s="241" t="s">
        <v>849</v>
      </c>
    </row>
    <row r="728" spans="1:9" ht="12.95" customHeight="1" x14ac:dyDescent="0.2">
      <c r="A728" s="274">
        <v>5949</v>
      </c>
      <c r="B728" s="241" t="str">
        <f t="shared" si="76"/>
        <v>EG</v>
      </c>
      <c r="C728" s="243" t="str">
        <f t="shared" si="78"/>
        <v/>
      </c>
      <c r="D728" s="275" t="s">
        <v>360</v>
      </c>
      <c r="E728" s="214" t="str">
        <f t="shared" si="77"/>
        <v>EG</v>
      </c>
      <c r="F728" s="242">
        <f t="shared" ref="F728:F742" si="79">A728</f>
        <v>5949</v>
      </c>
      <c r="G728" s="274">
        <v>500</v>
      </c>
      <c r="H728" s="241" t="str">
        <f t="shared" si="74"/>
        <v xml:space="preserve">Eilers, Gary &amp; Alice </v>
      </c>
      <c r="I728" s="241" t="s">
        <v>849</v>
      </c>
    </row>
    <row r="729" spans="1:9" ht="12.95" customHeight="1" x14ac:dyDescent="0.2">
      <c r="A729" s="274">
        <v>5956</v>
      </c>
      <c r="B729" s="241" t="str">
        <f t="shared" si="76"/>
        <v>LE</v>
      </c>
      <c r="C729" s="243" t="str">
        <f t="shared" si="78"/>
        <v/>
      </c>
      <c r="D729" s="275" t="s">
        <v>767</v>
      </c>
      <c r="E729" s="214" t="str">
        <f t="shared" si="77"/>
        <v>LE</v>
      </c>
      <c r="F729" s="242">
        <f t="shared" si="79"/>
        <v>5956</v>
      </c>
      <c r="G729" s="274">
        <v>500</v>
      </c>
      <c r="H729" s="241" t="str">
        <f t="shared" si="74"/>
        <v xml:space="preserve">Lee, Eva </v>
      </c>
      <c r="I729" s="241" t="s">
        <v>849</v>
      </c>
    </row>
    <row r="730" spans="1:9" ht="12.95" customHeight="1" x14ac:dyDescent="0.2">
      <c r="A730" s="274">
        <v>5963</v>
      </c>
      <c r="B730" s="241" t="str">
        <f t="shared" si="76"/>
        <v>FI</v>
      </c>
      <c r="C730" s="243" t="str">
        <f t="shared" si="78"/>
        <v>Shaw</v>
      </c>
      <c r="D730" s="275" t="s">
        <v>986</v>
      </c>
      <c r="E730" s="214" t="str">
        <f t="shared" si="77"/>
        <v>FI</v>
      </c>
      <c r="F730" s="242">
        <f t="shared" si="79"/>
        <v>5963</v>
      </c>
      <c r="G730" s="274">
        <v>300</v>
      </c>
      <c r="H730" s="241" t="str">
        <f t="shared" si="74"/>
        <v xml:space="preserve">Friends International UK </v>
      </c>
      <c r="I730" s="241" t="s">
        <v>847</v>
      </c>
    </row>
    <row r="731" spans="1:9" ht="12.95" customHeight="1" x14ac:dyDescent="0.2">
      <c r="A731" s="274">
        <v>7900</v>
      </c>
      <c r="B731" s="241" t="str">
        <f t="shared" si="76"/>
        <v>IH</v>
      </c>
      <c r="C731" s="243" t="str">
        <f t="shared" si="78"/>
        <v>Shaw, Tovar</v>
      </c>
      <c r="D731" s="275" t="s">
        <v>1754</v>
      </c>
      <c r="E731" s="214" t="str">
        <f t="shared" si="77"/>
        <v>IH</v>
      </c>
      <c r="F731" s="242">
        <f t="shared" si="79"/>
        <v>7900</v>
      </c>
      <c r="G731" s="274">
        <v>300</v>
      </c>
      <c r="H731" s="241" t="str">
        <f t="shared" si="74"/>
        <v xml:space="preserve">ISI Home Office Building </v>
      </c>
      <c r="I731" s="241" t="s">
        <v>846</v>
      </c>
    </row>
    <row r="732" spans="1:9" ht="12.95" customHeight="1" x14ac:dyDescent="0.2">
      <c r="A732" s="274">
        <v>9250</v>
      </c>
      <c r="B732" s="241" t="str">
        <f t="shared" si="76"/>
        <v>NM</v>
      </c>
      <c r="C732" s="243" t="str">
        <f t="shared" si="78"/>
        <v>Shaw, Tovar</v>
      </c>
      <c r="D732" s="275" t="s">
        <v>1755</v>
      </c>
      <c r="E732" s="214" t="str">
        <f t="shared" si="77"/>
        <v>NM</v>
      </c>
      <c r="F732" s="242">
        <f t="shared" si="79"/>
        <v>9250</v>
      </c>
      <c r="G732" s="274">
        <v>300</v>
      </c>
      <c r="H732" s="241" t="str">
        <f t="shared" si="74"/>
        <v xml:space="preserve">National Ministry Fund Intl </v>
      </c>
      <c r="I732" s="241" t="s">
        <v>846</v>
      </c>
    </row>
    <row r="733" spans="1:9" ht="12.95" customHeight="1" x14ac:dyDescent="0.2">
      <c r="A733" s="481">
        <v>9136</v>
      </c>
      <c r="B733" s="482" t="str">
        <f t="shared" ref="B733" si="80">E733</f>
        <v>PA</v>
      </c>
      <c r="C733" s="483" t="str">
        <f t="shared" ref="C733" si="81">IFERROR(PROPER(MID(D733,SEARCH("{",D733,1)+1,SEARCH("}",D733,1)-SEARCH("{",D733,1)-1)),"")</f>
        <v/>
      </c>
      <c r="D733" s="484" t="s">
        <v>1924</v>
      </c>
      <c r="E733" s="485" t="str">
        <f t="shared" ref="E733" si="82">LEFT(D733,1)&amp;MID(D733,SEARCH(" ",D733,1)+1,1)</f>
        <v>PA</v>
      </c>
      <c r="F733" s="486">
        <f t="shared" ref="F733" si="83">A733</f>
        <v>9136</v>
      </c>
      <c r="G733" s="481">
        <v>500</v>
      </c>
      <c r="H733" s="482" t="str">
        <f t="shared" ref="H733" si="84">LEFT(D733,SEARCH("(",D733,1)-1)</f>
        <v xml:space="preserve">Pearce, Andy </v>
      </c>
      <c r="I733" s="482" t="s">
        <v>849</v>
      </c>
    </row>
    <row r="734" spans="1:9" ht="12.95" customHeight="1" x14ac:dyDescent="0.2">
      <c r="A734" s="481">
        <v>9307</v>
      </c>
      <c r="B734" s="482" t="str">
        <f t="shared" si="76"/>
        <v>FJ</v>
      </c>
      <c r="C734" s="483" t="str">
        <f t="shared" si="78"/>
        <v/>
      </c>
      <c r="D734" s="484" t="s">
        <v>1585</v>
      </c>
      <c r="E734" s="485" t="str">
        <f t="shared" si="77"/>
        <v>FJ</v>
      </c>
      <c r="F734" s="486">
        <f t="shared" si="79"/>
        <v>9307</v>
      </c>
      <c r="G734" s="481">
        <v>500</v>
      </c>
      <c r="H734" s="482" t="str">
        <f t="shared" si="74"/>
        <v xml:space="preserve">Frost, Jim Intl </v>
      </c>
      <c r="I734" s="482" t="s">
        <v>849</v>
      </c>
    </row>
    <row r="735" spans="1:9" ht="12.95" customHeight="1" x14ac:dyDescent="0.2">
      <c r="A735" s="481">
        <v>9336</v>
      </c>
      <c r="B735" s="482" t="str">
        <f t="shared" si="76"/>
        <v>CR</v>
      </c>
      <c r="C735" s="483" t="str">
        <f t="shared" si="78"/>
        <v/>
      </c>
      <c r="D735" s="484" t="s">
        <v>1637</v>
      </c>
      <c r="E735" s="485" t="str">
        <f t="shared" si="77"/>
        <v>CR</v>
      </c>
      <c r="F735" s="486">
        <f t="shared" si="79"/>
        <v>9336</v>
      </c>
      <c r="G735" s="481">
        <v>500</v>
      </c>
      <c r="H735" s="482" t="str">
        <f t="shared" si="74"/>
        <v xml:space="preserve">Cossette, Richard &amp; Carol </v>
      </c>
      <c r="I735" s="482" t="s">
        <v>849</v>
      </c>
    </row>
    <row r="736" spans="1:9" ht="12.95" customHeight="1" x14ac:dyDescent="0.2">
      <c r="A736" s="481">
        <v>9383</v>
      </c>
      <c r="B736" s="482" t="str">
        <f t="shared" si="76"/>
        <v>GL</v>
      </c>
      <c r="C736" s="483" t="str">
        <f t="shared" si="78"/>
        <v/>
      </c>
      <c r="D736" s="484" t="s">
        <v>1759</v>
      </c>
      <c r="E736" s="485" t="str">
        <f t="shared" si="77"/>
        <v>GL</v>
      </c>
      <c r="F736" s="486">
        <f t="shared" si="79"/>
        <v>9383</v>
      </c>
      <c r="G736" s="481">
        <v>500</v>
      </c>
      <c r="H736" s="482" t="str">
        <f t="shared" si="74"/>
        <v xml:space="preserve">Godwin, Liz &amp; Paul </v>
      </c>
      <c r="I736" s="482" t="s">
        <v>849</v>
      </c>
    </row>
    <row r="737" spans="1:9" ht="12.95" customHeight="1" x14ac:dyDescent="0.2">
      <c r="A737" s="481">
        <v>9394</v>
      </c>
      <c r="B737" s="482" t="str">
        <f t="shared" ref="B737" si="85">E737</f>
        <v>AJ</v>
      </c>
      <c r="C737" s="483" t="str">
        <f t="shared" ref="C737" si="86">IFERROR(PROPER(MID(D737,SEARCH("{",D737,1)+1,SEARCH("}",D737,1)-SEARCH("{",D737,1)-1)),"")</f>
        <v/>
      </c>
      <c r="D737" s="484" t="s">
        <v>1761</v>
      </c>
      <c r="E737" s="485" t="str">
        <f t="shared" ref="E737" si="87">LEFT(D737,1)&amp;MID(D737,SEARCH(" ",D737,1)+1,1)</f>
        <v>AJ</v>
      </c>
      <c r="F737" s="486">
        <f t="shared" ref="F737" si="88">A737</f>
        <v>9394</v>
      </c>
      <c r="G737" s="481">
        <v>500</v>
      </c>
      <c r="H737" s="482" t="str">
        <f t="shared" ref="H737" si="89">LEFT(D737,SEARCH("(",D737,1)-1)</f>
        <v xml:space="preserve">Anthony, Jeff </v>
      </c>
      <c r="I737" s="482" t="s">
        <v>849</v>
      </c>
    </row>
    <row r="738" spans="1:9" ht="12.95" customHeight="1" x14ac:dyDescent="0.2">
      <c r="A738" s="481">
        <v>9776</v>
      </c>
      <c r="B738" s="482" t="str">
        <f t="shared" si="76"/>
        <v>BR</v>
      </c>
      <c r="C738" s="483" t="str">
        <f t="shared" si="78"/>
        <v/>
      </c>
      <c r="D738" s="484" t="s">
        <v>1586</v>
      </c>
      <c r="E738" s="485" t="str">
        <f t="shared" si="77"/>
        <v>BR</v>
      </c>
      <c r="F738" s="486">
        <f t="shared" si="79"/>
        <v>9776</v>
      </c>
      <c r="G738" s="481">
        <v>500</v>
      </c>
      <c r="H738" s="482" t="str">
        <f t="shared" si="74"/>
        <v xml:space="preserve">Bunyard, Ronald Intl </v>
      </c>
      <c r="I738" s="482" t="s">
        <v>849</v>
      </c>
    </row>
    <row r="739" spans="1:9" ht="12.95" customHeight="1" x14ac:dyDescent="0.2">
      <c r="A739" s="481">
        <v>9628</v>
      </c>
      <c r="B739" s="482" t="str">
        <f t="shared" si="76"/>
        <v>CJ</v>
      </c>
      <c r="C739" s="483" t="str">
        <f t="shared" si="78"/>
        <v/>
      </c>
      <c r="D739" s="484" t="s">
        <v>1760</v>
      </c>
      <c r="E739" s="485" t="str">
        <f t="shared" si="77"/>
        <v>CJ</v>
      </c>
      <c r="F739" s="486">
        <v>9628</v>
      </c>
      <c r="G739" s="481">
        <v>500</v>
      </c>
      <c r="H739" s="482" t="str">
        <f t="shared" si="74"/>
        <v xml:space="preserve">Cote, Jennifer </v>
      </c>
      <c r="I739" s="482" t="s">
        <v>849</v>
      </c>
    </row>
    <row r="740" spans="1:9" ht="12.95" customHeight="1" x14ac:dyDescent="0.2">
      <c r="A740" s="481">
        <v>9661</v>
      </c>
      <c r="B740" s="482" t="str">
        <f t="shared" si="76"/>
        <v>YT</v>
      </c>
      <c r="C740" s="483" t="str">
        <f t="shared" si="78"/>
        <v/>
      </c>
      <c r="D740" s="484" t="s">
        <v>1638</v>
      </c>
      <c r="E740" s="485" t="str">
        <f t="shared" si="77"/>
        <v>YT</v>
      </c>
      <c r="F740" s="486">
        <f t="shared" si="79"/>
        <v>9661</v>
      </c>
      <c r="G740" s="481">
        <v>500</v>
      </c>
      <c r="H740" s="482" t="str">
        <f t="shared" si="74"/>
        <v xml:space="preserve">Yu, Terry </v>
      </c>
      <c r="I740" s="482" t="s">
        <v>849</v>
      </c>
    </row>
    <row r="741" spans="1:9" ht="12.95" customHeight="1" x14ac:dyDescent="0.2">
      <c r="A741" s="481">
        <v>9814</v>
      </c>
      <c r="B741" s="482" t="str">
        <f t="shared" si="76"/>
        <v>DM</v>
      </c>
      <c r="C741" s="483" t="str">
        <f t="shared" si="78"/>
        <v>Compton</v>
      </c>
      <c r="D741" s="484" t="s">
        <v>1756</v>
      </c>
      <c r="E741" s="485" t="str">
        <f t="shared" si="77"/>
        <v>DM</v>
      </c>
      <c r="F741" s="486">
        <f t="shared" si="79"/>
        <v>9814</v>
      </c>
      <c r="G741" s="481">
        <v>500</v>
      </c>
      <c r="H741" s="482" t="str">
        <f t="shared" ref="H741:H742" si="90">LEFT(D741,SEARCH("(",D741,1)-1)</f>
        <v xml:space="preserve">DU Ministry Intl </v>
      </c>
      <c r="I741" s="482" t="s">
        <v>847</v>
      </c>
    </row>
    <row r="742" spans="1:9" ht="12.95" customHeight="1" x14ac:dyDescent="0.2">
      <c r="A742" s="481">
        <v>9826</v>
      </c>
      <c r="B742" s="482" t="str">
        <f t="shared" si="76"/>
        <v>PC</v>
      </c>
      <c r="C742" s="483" t="str">
        <f t="shared" si="78"/>
        <v/>
      </c>
      <c r="D742" s="484" t="s">
        <v>1923</v>
      </c>
      <c r="E742" s="485" t="str">
        <f t="shared" si="77"/>
        <v>PC</v>
      </c>
      <c r="F742" s="486">
        <f t="shared" si="79"/>
        <v>9826</v>
      </c>
      <c r="G742" s="481">
        <v>500</v>
      </c>
      <c r="H742" s="482" t="str">
        <f t="shared" si="90"/>
        <v xml:space="preserve">Portland City </v>
      </c>
      <c r="I742" s="482" t="s">
        <v>847</v>
      </c>
    </row>
    <row r="743" spans="1:9" ht="12.95" customHeight="1" x14ac:dyDescent="0.2">
      <c r="A743" s="481">
        <v>9908</v>
      </c>
      <c r="B743" s="482" t="str">
        <f t="shared" ref="B743" si="91">E743</f>
        <v>CG</v>
      </c>
      <c r="C743" s="483" t="str">
        <f t="shared" ref="C743" si="92">IFERROR(PROPER(MID(D743,SEARCH("{",D743,1)+1,SEARCH("}",D743,1)-SEARCH("{",D743,1)-1)),"")</f>
        <v/>
      </c>
      <c r="D743" s="484" t="s">
        <v>1661</v>
      </c>
      <c r="E743" s="485" t="str">
        <f t="shared" ref="E743" si="93">LEFT(D743,1)&amp;MID(D743,SEARCH(" ",D743,1)+1,1)</f>
        <v>CG</v>
      </c>
      <c r="F743" s="486">
        <f t="shared" ref="F743" si="94">A743</f>
        <v>9908</v>
      </c>
      <c r="G743" s="481">
        <v>500</v>
      </c>
      <c r="H743" s="482" t="str">
        <f t="shared" si="74"/>
        <v xml:space="preserve">Classen, Gary </v>
      </c>
      <c r="I743" s="482" t="s">
        <v>847</v>
      </c>
    </row>
    <row r="744" spans="1:9" ht="12.95" customHeight="1" x14ac:dyDescent="0.2">
      <c r="A744" s="262"/>
      <c r="B744" s="241"/>
      <c r="C744" s="243"/>
      <c r="D744" s="263"/>
      <c r="F744" s="242"/>
      <c r="G744" s="274"/>
      <c r="H744" s="241"/>
      <c r="I744" s="241"/>
    </row>
    <row r="745" spans="1:9" ht="12.95" customHeight="1" x14ac:dyDescent="0.2">
      <c r="A745" s="262"/>
      <c r="B745" s="241"/>
      <c r="C745" s="243"/>
      <c r="D745" s="263"/>
      <c r="F745" s="242"/>
      <c r="G745" s="274"/>
      <c r="H745" s="241"/>
      <c r="I745" s="241"/>
    </row>
    <row r="746" spans="1:9" ht="12.95" customHeight="1" x14ac:dyDescent="0.2">
      <c r="A746" s="262"/>
      <c r="B746" s="241"/>
      <c r="C746" s="243"/>
      <c r="D746" s="263"/>
      <c r="F746" s="242"/>
      <c r="G746" s="274"/>
      <c r="H746" s="241"/>
      <c r="I746" s="241"/>
    </row>
    <row r="747" spans="1:9" ht="12.95" customHeight="1" x14ac:dyDescent="0.2">
      <c r="A747" s="262"/>
      <c r="B747" s="241"/>
      <c r="C747" s="243"/>
      <c r="D747" s="263"/>
      <c r="F747" s="242"/>
      <c r="G747" s="274"/>
      <c r="H747" s="241"/>
      <c r="I747" s="241"/>
    </row>
    <row r="748" spans="1:9" ht="12.95" customHeight="1" x14ac:dyDescent="0.2">
      <c r="A748" s="262"/>
      <c r="B748" s="241"/>
      <c r="C748" s="243"/>
      <c r="D748" s="263"/>
      <c r="F748" s="242"/>
      <c r="G748" s="274"/>
      <c r="H748" s="241"/>
      <c r="I748" s="241"/>
    </row>
    <row r="749" spans="1:9" ht="12.95" customHeight="1" x14ac:dyDescent="0.2">
      <c r="A749" s="262"/>
      <c r="B749" s="241"/>
      <c r="C749" s="243"/>
      <c r="D749" s="263"/>
      <c r="F749" s="242"/>
      <c r="G749" s="274"/>
      <c r="H749" s="241"/>
      <c r="I749" s="241"/>
    </row>
    <row r="750" spans="1:9" ht="12.95" customHeight="1" x14ac:dyDescent="0.2">
      <c r="A750" s="262"/>
      <c r="B750" s="241"/>
      <c r="C750" s="243"/>
      <c r="D750" s="263"/>
      <c r="F750" s="242"/>
      <c r="G750" s="274"/>
      <c r="H750" s="241"/>
      <c r="I750" s="241"/>
    </row>
    <row r="751" spans="1:9" ht="12.95" customHeight="1" x14ac:dyDescent="0.2">
      <c r="A751" s="262"/>
      <c r="B751" s="241"/>
      <c r="C751" s="243"/>
      <c r="D751" s="263"/>
      <c r="F751" s="242"/>
      <c r="G751" s="274"/>
      <c r="H751" s="241"/>
      <c r="I751" s="241"/>
    </row>
    <row r="752" spans="1:9" ht="12.95" customHeight="1" x14ac:dyDescent="0.2">
      <c r="A752" s="262"/>
      <c r="B752" s="241"/>
      <c r="C752" s="243"/>
      <c r="D752" s="263"/>
      <c r="F752" s="242"/>
      <c r="G752" s="274"/>
      <c r="H752" s="241"/>
      <c r="I752" s="241"/>
    </row>
    <row r="753" spans="1:9" ht="12.95" customHeight="1" x14ac:dyDescent="0.2">
      <c r="A753" s="262"/>
      <c r="B753" s="241"/>
      <c r="C753" s="243"/>
      <c r="D753" s="263"/>
      <c r="F753" s="242"/>
      <c r="G753" s="274"/>
      <c r="H753" s="241"/>
      <c r="I753" s="241"/>
    </row>
    <row r="754" spans="1:9" ht="12.95" customHeight="1" x14ac:dyDescent="0.2">
      <c r="A754" s="262"/>
      <c r="B754" s="241"/>
      <c r="C754" s="243"/>
      <c r="D754" s="263"/>
      <c r="F754" s="242"/>
      <c r="G754" s="274"/>
      <c r="H754" s="241"/>
      <c r="I754" s="241"/>
    </row>
    <row r="755" spans="1:9" ht="12.95" customHeight="1" x14ac:dyDescent="0.2">
      <c r="A755" s="262"/>
      <c r="B755" s="241"/>
      <c r="C755" s="243"/>
      <c r="D755" s="263"/>
      <c r="F755" s="242"/>
      <c r="G755" s="274"/>
      <c r="H755" s="241"/>
      <c r="I755" s="241"/>
    </row>
    <row r="756" spans="1:9" ht="12.95" customHeight="1" x14ac:dyDescent="0.2">
      <c r="A756" s="262"/>
      <c r="B756" s="241"/>
      <c r="C756" s="243"/>
      <c r="D756" s="263"/>
      <c r="F756" s="242"/>
      <c r="G756" s="274"/>
      <c r="H756" s="241"/>
      <c r="I756" s="241"/>
    </row>
    <row r="757" spans="1:9" ht="12.95" customHeight="1" x14ac:dyDescent="0.2">
      <c r="A757" s="262"/>
      <c r="B757" s="241"/>
      <c r="C757" s="243"/>
      <c r="D757" s="263"/>
      <c r="F757" s="242"/>
      <c r="G757" s="274"/>
      <c r="H757" s="241"/>
      <c r="I757" s="241"/>
    </row>
    <row r="758" spans="1:9" ht="12.95" customHeight="1" x14ac:dyDescent="0.2">
      <c r="A758" s="262"/>
      <c r="B758" s="241"/>
      <c r="C758" s="243"/>
      <c r="D758" s="263"/>
      <c r="F758" s="242"/>
      <c r="G758" s="274"/>
      <c r="H758" s="241"/>
      <c r="I758" s="241"/>
    </row>
    <row r="759" spans="1:9" ht="12.95" customHeight="1" x14ac:dyDescent="0.2">
      <c r="A759" s="262"/>
      <c r="B759" s="241"/>
      <c r="C759" s="243"/>
      <c r="D759" s="263"/>
      <c r="F759" s="242"/>
      <c r="G759" s="274"/>
      <c r="H759" s="241"/>
      <c r="I759" s="241"/>
    </row>
    <row r="760" spans="1:9" ht="12.95" customHeight="1" x14ac:dyDescent="0.2">
      <c r="A760" s="262"/>
      <c r="B760" s="241"/>
      <c r="C760" s="243"/>
      <c r="D760" s="263"/>
      <c r="F760" s="242"/>
      <c r="G760" s="274"/>
      <c r="H760" s="241"/>
      <c r="I760" s="241"/>
    </row>
    <row r="761" spans="1:9" ht="12.95" customHeight="1" x14ac:dyDescent="0.2">
      <c r="A761" s="262"/>
      <c r="B761" s="241"/>
      <c r="C761" s="243"/>
      <c r="D761" s="263"/>
      <c r="F761" s="242"/>
      <c r="G761" s="274"/>
      <c r="H761" s="241"/>
      <c r="I761" s="241"/>
    </row>
    <row r="762" spans="1:9" ht="12.95" customHeight="1" x14ac:dyDescent="0.2">
      <c r="A762" s="262"/>
      <c r="B762" s="241"/>
      <c r="C762" s="243"/>
      <c r="D762" s="263"/>
      <c r="F762" s="242"/>
      <c r="G762" s="274"/>
      <c r="H762" s="241"/>
      <c r="I762" s="241"/>
    </row>
    <row r="763" spans="1:9" ht="12.95" customHeight="1" x14ac:dyDescent="0.2">
      <c r="A763" s="262"/>
      <c r="B763" s="241"/>
      <c r="C763" s="243"/>
      <c r="D763" s="263"/>
      <c r="F763" s="242"/>
      <c r="G763" s="274"/>
      <c r="H763" s="241"/>
      <c r="I763" s="241"/>
    </row>
    <row r="764" spans="1:9" ht="12.95" customHeight="1" x14ac:dyDescent="0.2">
      <c r="A764" s="242"/>
      <c r="B764" s="241"/>
      <c r="C764" s="243"/>
      <c r="D764" s="241"/>
      <c r="F764" s="242"/>
      <c r="G764" s="242"/>
      <c r="H764" s="241"/>
    </row>
    <row r="765" spans="1:9" ht="12.95" customHeight="1" x14ac:dyDescent="0.2">
      <c r="A765" s="242"/>
      <c r="B765" s="241"/>
      <c r="C765" s="243"/>
      <c r="D765" s="241"/>
      <c r="F765" s="242"/>
      <c r="G765" s="242"/>
      <c r="H765" s="241"/>
    </row>
    <row r="766" spans="1:9" ht="12.95" customHeight="1" x14ac:dyDescent="0.2">
      <c r="A766" s="242"/>
      <c r="B766" s="241"/>
      <c r="C766" s="243"/>
      <c r="D766" s="241"/>
      <c r="F766" s="242"/>
      <c r="G766" s="242"/>
      <c r="H766" s="241"/>
    </row>
    <row r="767" spans="1:9" ht="12.95" customHeight="1" x14ac:dyDescent="0.2">
      <c r="A767" s="242"/>
      <c r="B767" s="241"/>
      <c r="C767" s="243"/>
      <c r="D767" s="241"/>
      <c r="F767" s="242"/>
      <c r="G767" s="242"/>
      <c r="H767" s="241"/>
    </row>
    <row r="768" spans="1:9" ht="12.95" customHeight="1" x14ac:dyDescent="0.2">
      <c r="A768" s="242"/>
      <c r="B768" s="241"/>
      <c r="C768" s="243"/>
      <c r="D768" s="241"/>
      <c r="F768" s="242"/>
      <c r="G768" s="242"/>
      <c r="H768" s="241"/>
    </row>
    <row r="769" spans="1:8" ht="12.95" customHeight="1" x14ac:dyDescent="0.2">
      <c r="A769" s="242"/>
      <c r="B769" s="241"/>
      <c r="C769" s="243"/>
      <c r="D769" s="241"/>
      <c r="F769" s="242"/>
      <c r="G769" s="242"/>
      <c r="H769" s="241"/>
    </row>
    <row r="770" spans="1:8" ht="12.95" customHeight="1" x14ac:dyDescent="0.2">
      <c r="A770" s="242"/>
      <c r="B770" s="241"/>
      <c r="C770" s="243"/>
      <c r="D770" s="241"/>
      <c r="F770" s="242"/>
      <c r="G770" s="242"/>
      <c r="H770" s="241"/>
    </row>
    <row r="771" spans="1:8" ht="12.95" customHeight="1" x14ac:dyDescent="0.2">
      <c r="A771" s="242"/>
      <c r="B771" s="241"/>
      <c r="C771" s="243"/>
      <c r="D771" s="241"/>
      <c r="F771" s="242"/>
      <c r="G771" s="242"/>
      <c r="H771" s="241"/>
    </row>
    <row r="772" spans="1:8" ht="12.95" customHeight="1" x14ac:dyDescent="0.2">
      <c r="A772" s="242"/>
      <c r="B772" s="241"/>
      <c r="C772" s="243"/>
      <c r="D772" s="241"/>
      <c r="F772" s="242"/>
      <c r="G772" s="242"/>
      <c r="H772" s="241"/>
    </row>
    <row r="773" spans="1:8" ht="12.95" customHeight="1" x14ac:dyDescent="0.2">
      <c r="A773" s="242"/>
      <c r="B773" s="241"/>
      <c r="C773" s="243"/>
      <c r="D773" s="241"/>
      <c r="F773" s="242"/>
      <c r="G773" s="242"/>
      <c r="H773" s="241"/>
    </row>
    <row r="774" spans="1:8" ht="12.95" customHeight="1" x14ac:dyDescent="0.2">
      <c r="A774" s="242"/>
      <c r="B774" s="241"/>
      <c r="C774" s="243"/>
      <c r="D774" s="241"/>
      <c r="F774" s="242"/>
      <c r="G774" s="242"/>
      <c r="H774" s="241"/>
    </row>
    <row r="775" spans="1:8" ht="12.95" customHeight="1" x14ac:dyDescent="0.2">
      <c r="A775" s="242"/>
      <c r="B775" s="241"/>
      <c r="C775" s="243"/>
      <c r="D775" s="241"/>
      <c r="F775" s="242"/>
      <c r="G775" s="242"/>
      <c r="H775" s="241"/>
    </row>
    <row r="776" spans="1:8" ht="12.95" customHeight="1" x14ac:dyDescent="0.2">
      <c r="A776" s="242"/>
      <c r="B776" s="241"/>
      <c r="C776" s="243"/>
      <c r="D776" s="241"/>
      <c r="F776" s="242"/>
      <c r="G776" s="242"/>
      <c r="H776" s="241"/>
    </row>
    <row r="777" spans="1:8" ht="12.95" customHeight="1" x14ac:dyDescent="0.2">
      <c r="A777" s="242"/>
      <c r="B777" s="241"/>
      <c r="C777" s="243"/>
      <c r="D777" s="241"/>
      <c r="F777" s="242"/>
      <c r="G777" s="241"/>
      <c r="H777" s="241"/>
    </row>
    <row r="778" spans="1:8" ht="12.95" customHeight="1" x14ac:dyDescent="0.2">
      <c r="A778" s="242"/>
      <c r="B778" s="241"/>
      <c r="C778" s="243"/>
      <c r="D778" s="241"/>
      <c r="F778" s="242"/>
      <c r="G778" s="241"/>
      <c r="H778" s="241"/>
    </row>
    <row r="779" spans="1:8" ht="12.95" customHeight="1" x14ac:dyDescent="0.2">
      <c r="A779" s="242"/>
      <c r="B779" s="241"/>
      <c r="C779" s="243"/>
      <c r="D779" s="241"/>
      <c r="F779" s="242"/>
      <c r="G779" s="241"/>
      <c r="H779" s="241"/>
    </row>
    <row r="780" spans="1:8" ht="12.95" customHeight="1" x14ac:dyDescent="0.2">
      <c r="A780" s="242"/>
      <c r="B780" s="241"/>
      <c r="C780" s="243"/>
      <c r="D780" s="241"/>
      <c r="F780" s="242"/>
      <c r="G780" s="241"/>
      <c r="H780" s="241"/>
    </row>
    <row r="781" spans="1:8" ht="12.95" customHeight="1" x14ac:dyDescent="0.2">
      <c r="A781" s="242"/>
      <c r="B781" s="241"/>
      <c r="C781" s="243"/>
      <c r="D781" s="241"/>
      <c r="F781" s="242"/>
      <c r="G781" s="241"/>
      <c r="H781" s="241"/>
    </row>
    <row r="782" spans="1:8" ht="12.95" customHeight="1" x14ac:dyDescent="0.2">
      <c r="A782" s="242"/>
      <c r="B782" s="241"/>
      <c r="C782" s="243"/>
      <c r="D782" s="241"/>
      <c r="F782" s="242"/>
      <c r="G782" s="241"/>
      <c r="H782" s="241"/>
    </row>
    <row r="783" spans="1:8" ht="12.95" customHeight="1" x14ac:dyDescent="0.2">
      <c r="A783" s="242"/>
      <c r="B783" s="241"/>
      <c r="C783" s="243"/>
      <c r="D783" s="241"/>
      <c r="F783" s="242"/>
      <c r="G783" s="241"/>
      <c r="H783" s="241"/>
    </row>
    <row r="784" spans="1:8" ht="12.95" customHeight="1" x14ac:dyDescent="0.2">
      <c r="A784" s="242"/>
      <c r="B784" s="241"/>
      <c r="C784" s="243"/>
      <c r="D784" s="241"/>
      <c r="F784" s="242"/>
      <c r="G784" s="241"/>
      <c r="H784" s="241"/>
    </row>
    <row r="785" spans="1:8" ht="12.95" customHeight="1" x14ac:dyDescent="0.2">
      <c r="A785" s="242"/>
      <c r="B785" s="241"/>
      <c r="C785" s="243"/>
      <c r="D785" s="241"/>
      <c r="F785" s="242"/>
      <c r="G785" s="241"/>
      <c r="H785" s="241"/>
    </row>
    <row r="786" spans="1:8" ht="12.95" customHeight="1" x14ac:dyDescent="0.2">
      <c r="A786" s="242"/>
      <c r="B786" s="241"/>
      <c r="C786" s="243"/>
      <c r="D786" s="241"/>
      <c r="F786" s="242"/>
      <c r="G786" s="241"/>
      <c r="H786" s="241"/>
    </row>
    <row r="787" spans="1:8" ht="12.95" customHeight="1" x14ac:dyDescent="0.2">
      <c r="A787" s="242"/>
      <c r="B787" s="241"/>
      <c r="C787" s="243"/>
      <c r="D787" s="241"/>
      <c r="F787" s="242"/>
      <c r="G787" s="241"/>
      <c r="H787" s="241"/>
    </row>
    <row r="788" spans="1:8" ht="12.95" customHeight="1" x14ac:dyDescent="0.2">
      <c r="A788" s="242"/>
      <c r="B788" s="241"/>
      <c r="C788" s="243"/>
      <c r="D788" s="241"/>
      <c r="F788" s="242"/>
      <c r="G788" s="241"/>
      <c r="H788" s="241"/>
    </row>
    <row r="789" spans="1:8" ht="12.95" customHeight="1" x14ac:dyDescent="0.2">
      <c r="A789" s="242"/>
      <c r="B789" s="241"/>
      <c r="C789" s="243"/>
      <c r="D789" s="241"/>
      <c r="F789" s="242"/>
      <c r="G789" s="241"/>
      <c r="H789" s="241"/>
    </row>
    <row r="790" spans="1:8" ht="12.95" customHeight="1" x14ac:dyDescent="0.2">
      <c r="A790" s="242"/>
      <c r="B790" s="241"/>
      <c r="C790" s="243"/>
      <c r="D790" s="241"/>
      <c r="F790" s="242"/>
      <c r="G790" s="241"/>
      <c r="H790" s="241"/>
    </row>
    <row r="791" spans="1:8" ht="12.95" customHeight="1" x14ac:dyDescent="0.2">
      <c r="A791" s="242"/>
      <c r="B791" s="241"/>
      <c r="C791" s="243"/>
      <c r="D791" s="241"/>
      <c r="F791" s="242"/>
      <c r="G791" s="241"/>
      <c r="H791" s="241"/>
    </row>
    <row r="792" spans="1:8" ht="12.95" customHeight="1" x14ac:dyDescent="0.2">
      <c r="A792" s="242"/>
      <c r="B792" s="241"/>
      <c r="C792" s="243"/>
      <c r="D792" s="241"/>
      <c r="F792" s="242"/>
      <c r="G792" s="241"/>
      <c r="H792" s="241"/>
    </row>
    <row r="793" spans="1:8" ht="12.95" customHeight="1" x14ac:dyDescent="0.2">
      <c r="A793" s="242"/>
      <c r="B793" s="241"/>
      <c r="C793" s="243"/>
      <c r="D793" s="241"/>
      <c r="F793" s="242"/>
      <c r="G793" s="241"/>
      <c r="H793" s="241"/>
    </row>
    <row r="794" spans="1:8" ht="12.95" customHeight="1" x14ac:dyDescent="0.2">
      <c r="A794" s="242"/>
      <c r="B794" s="241"/>
      <c r="C794" s="243"/>
      <c r="D794" s="241"/>
      <c r="F794" s="242"/>
      <c r="G794" s="241"/>
      <c r="H794" s="241"/>
    </row>
    <row r="795" spans="1:8" ht="12.95" customHeight="1" x14ac:dyDescent="0.2">
      <c r="A795" s="242"/>
      <c r="B795" s="241"/>
      <c r="C795" s="243"/>
      <c r="D795" s="241"/>
      <c r="F795" s="242"/>
      <c r="G795" s="241"/>
      <c r="H795" s="241"/>
    </row>
    <row r="796" spans="1:8" ht="12.95" customHeight="1" x14ac:dyDescent="0.2">
      <c r="A796" s="242"/>
      <c r="B796" s="241"/>
      <c r="C796" s="243"/>
      <c r="D796" s="241"/>
      <c r="F796" s="242"/>
      <c r="G796" s="241"/>
      <c r="H796" s="241"/>
    </row>
    <row r="797" spans="1:8" ht="12.95" customHeight="1" x14ac:dyDescent="0.2">
      <c r="A797" s="242"/>
      <c r="B797" s="241"/>
      <c r="C797" s="243"/>
      <c r="D797" s="241"/>
      <c r="F797" s="242"/>
      <c r="G797" s="241"/>
      <c r="H797" s="241"/>
    </row>
    <row r="798" spans="1:8" ht="12.95" customHeight="1" x14ac:dyDescent="0.2">
      <c r="A798" s="242"/>
      <c r="B798" s="241"/>
      <c r="C798" s="243"/>
      <c r="D798" s="241"/>
      <c r="F798" s="242"/>
      <c r="G798" s="241"/>
      <c r="H798" s="241"/>
    </row>
    <row r="799" spans="1:8" ht="12.95" customHeight="1" x14ac:dyDescent="0.2">
      <c r="A799" s="242"/>
      <c r="B799" s="241"/>
      <c r="C799" s="243"/>
      <c r="D799" s="241"/>
      <c r="F799" s="242"/>
      <c r="G799" s="241"/>
      <c r="H799" s="241"/>
    </row>
    <row r="800" spans="1:8" ht="12.95" customHeight="1" x14ac:dyDescent="0.2">
      <c r="A800" s="242"/>
      <c r="B800" s="241"/>
      <c r="C800" s="243"/>
      <c r="D800" s="241"/>
      <c r="F800" s="242"/>
      <c r="G800" s="241"/>
      <c r="H800" s="241"/>
    </row>
    <row r="801" spans="1:8" ht="12.95" customHeight="1" x14ac:dyDescent="0.2">
      <c r="A801" s="242"/>
      <c r="B801" s="241"/>
      <c r="C801" s="243"/>
      <c r="D801" s="241"/>
      <c r="F801" s="242"/>
      <c r="G801" s="241"/>
      <c r="H801" s="241"/>
    </row>
    <row r="802" spans="1:8" ht="12.95" customHeight="1" x14ac:dyDescent="0.2">
      <c r="A802" s="242"/>
      <c r="B802" s="241"/>
      <c r="C802" s="243"/>
      <c r="D802" s="241"/>
      <c r="F802" s="242"/>
      <c r="G802" s="241"/>
      <c r="H802" s="241"/>
    </row>
    <row r="803" spans="1:8" ht="12.95" customHeight="1" x14ac:dyDescent="0.2">
      <c r="A803" s="242"/>
      <c r="B803" s="241"/>
      <c r="C803" s="243"/>
      <c r="D803" s="241"/>
      <c r="F803" s="242"/>
      <c r="G803" s="241"/>
      <c r="H803" s="241"/>
    </row>
    <row r="804" spans="1:8" ht="12.95" customHeight="1" x14ac:dyDescent="0.2">
      <c r="A804" s="242"/>
      <c r="B804" s="241"/>
      <c r="C804" s="243"/>
      <c r="D804" s="241"/>
      <c r="F804" s="242"/>
      <c r="G804" s="241"/>
      <c r="H804" s="241"/>
    </row>
    <row r="805" spans="1:8" ht="12.95" customHeight="1" x14ac:dyDescent="0.2">
      <c r="A805" s="242"/>
      <c r="B805" s="241"/>
      <c r="C805" s="243"/>
      <c r="D805" s="241"/>
      <c r="F805" s="242"/>
      <c r="G805" s="241"/>
      <c r="H805" s="241"/>
    </row>
    <row r="806" spans="1:8" ht="12.95" customHeight="1" x14ac:dyDescent="0.2">
      <c r="A806" s="242"/>
      <c r="B806" s="241"/>
      <c r="C806" s="243"/>
      <c r="D806" s="241"/>
      <c r="F806" s="242"/>
      <c r="G806" s="241"/>
      <c r="H806" s="241"/>
    </row>
    <row r="807" spans="1:8" ht="12.95" customHeight="1" x14ac:dyDescent="0.2">
      <c r="A807" s="242"/>
      <c r="B807" s="241"/>
      <c r="C807" s="243"/>
      <c r="D807" s="241"/>
      <c r="F807" s="242"/>
      <c r="G807" s="241"/>
      <c r="H807" s="241"/>
    </row>
    <row r="808" spans="1:8" ht="12.95" customHeight="1" x14ac:dyDescent="0.2">
      <c r="A808" s="242"/>
      <c r="B808" s="241"/>
      <c r="C808" s="243"/>
      <c r="D808" s="241"/>
      <c r="F808" s="242"/>
      <c r="G808" s="241"/>
      <c r="H808" s="241"/>
    </row>
    <row r="809" spans="1:8" ht="12.95" customHeight="1" x14ac:dyDescent="0.2">
      <c r="A809" s="242"/>
      <c r="B809" s="241"/>
      <c r="C809" s="243"/>
      <c r="D809" s="241"/>
      <c r="F809" s="242"/>
      <c r="G809" s="241"/>
      <c r="H809" s="241"/>
    </row>
    <row r="810" spans="1:8" ht="12.95" customHeight="1" x14ac:dyDescent="0.2">
      <c r="A810" s="242"/>
      <c r="B810" s="241"/>
      <c r="C810" s="243"/>
      <c r="D810" s="241"/>
      <c r="F810" s="242"/>
      <c r="G810" s="241"/>
      <c r="H810" s="241"/>
    </row>
    <row r="811" spans="1:8" ht="12.95" customHeight="1" x14ac:dyDescent="0.2">
      <c r="A811" s="242"/>
      <c r="B811" s="241"/>
      <c r="C811" s="243"/>
      <c r="D811" s="241"/>
      <c r="F811" s="242"/>
      <c r="G811" s="241"/>
      <c r="H811" s="241"/>
    </row>
    <row r="812" spans="1:8" ht="12.95" customHeight="1" x14ac:dyDescent="0.2">
      <c r="A812" s="242"/>
      <c r="B812" s="241"/>
      <c r="C812" s="243"/>
      <c r="D812" s="241"/>
      <c r="F812" s="242"/>
      <c r="G812" s="241"/>
      <c r="H812" s="241"/>
    </row>
    <row r="813" spans="1:8" ht="12.95" customHeight="1" x14ac:dyDescent="0.2">
      <c r="A813" s="242"/>
      <c r="B813" s="241"/>
      <c r="C813" s="243"/>
      <c r="D813" s="241"/>
      <c r="F813" s="242"/>
      <c r="G813" s="241"/>
      <c r="H813" s="241"/>
    </row>
    <row r="814" spans="1:8" ht="12.95" customHeight="1" x14ac:dyDescent="0.2">
      <c r="A814" s="242"/>
      <c r="B814" s="241"/>
      <c r="C814" s="243"/>
      <c r="D814" s="241"/>
      <c r="F814" s="242"/>
      <c r="G814" s="241"/>
      <c r="H814" s="241"/>
    </row>
    <row r="815" spans="1:8" ht="12.95" customHeight="1" x14ac:dyDescent="0.2">
      <c r="A815" s="242"/>
      <c r="B815" s="241"/>
      <c r="C815" s="243"/>
      <c r="D815" s="241"/>
      <c r="F815" s="242"/>
      <c r="G815" s="241"/>
      <c r="H815" s="241"/>
    </row>
    <row r="816" spans="1:8" ht="12.95" customHeight="1" x14ac:dyDescent="0.2">
      <c r="A816" s="242"/>
      <c r="B816" s="241"/>
      <c r="C816" s="243"/>
      <c r="D816" s="241"/>
      <c r="F816" s="242"/>
      <c r="G816" s="241"/>
      <c r="H816" s="241"/>
    </row>
    <row r="817" spans="1:8" ht="12.95" customHeight="1" x14ac:dyDescent="0.2">
      <c r="A817" s="242"/>
      <c r="B817" s="241"/>
      <c r="C817" s="243"/>
      <c r="D817" s="241"/>
      <c r="F817" s="242"/>
      <c r="G817" s="241"/>
      <c r="H817" s="241"/>
    </row>
    <row r="818" spans="1:8" ht="12.95" customHeight="1" x14ac:dyDescent="0.2">
      <c r="A818" s="242"/>
      <c r="B818" s="241"/>
      <c r="C818" s="243"/>
      <c r="D818" s="241"/>
      <c r="F818" s="242"/>
      <c r="G818" s="241"/>
      <c r="H818" s="241"/>
    </row>
    <row r="819" spans="1:8" ht="12.95" customHeight="1" x14ac:dyDescent="0.2">
      <c r="A819" s="242"/>
      <c r="B819" s="241"/>
      <c r="C819" s="243"/>
      <c r="D819" s="241"/>
      <c r="F819" s="242"/>
      <c r="G819" s="241"/>
      <c r="H819" s="241"/>
    </row>
    <row r="820" spans="1:8" ht="12.95" customHeight="1" x14ac:dyDescent="0.2">
      <c r="A820" s="242"/>
      <c r="B820" s="241"/>
      <c r="C820" s="243"/>
      <c r="D820" s="241"/>
      <c r="F820" s="242"/>
      <c r="G820" s="241"/>
      <c r="H820" s="241"/>
    </row>
    <row r="821" spans="1:8" ht="12.95" customHeight="1" x14ac:dyDescent="0.2">
      <c r="A821" s="242"/>
      <c r="B821" s="241"/>
      <c r="C821" s="243"/>
      <c r="D821" s="241"/>
      <c r="F821" s="242"/>
      <c r="G821" s="241"/>
      <c r="H821" s="241"/>
    </row>
    <row r="822" spans="1:8" ht="12.95" customHeight="1" x14ac:dyDescent="0.2">
      <c r="A822" s="242"/>
      <c r="B822" s="241"/>
      <c r="C822" s="243"/>
      <c r="D822" s="241"/>
      <c r="F822" s="242"/>
      <c r="G822" s="241"/>
      <c r="H822" s="241"/>
    </row>
    <row r="823" spans="1:8" ht="12.95" customHeight="1" x14ac:dyDescent="0.2">
      <c r="A823" s="242"/>
      <c r="B823" s="241"/>
      <c r="C823" s="243"/>
      <c r="D823" s="241"/>
      <c r="F823" s="242"/>
      <c r="G823" s="241"/>
      <c r="H823" s="241"/>
    </row>
    <row r="824" spans="1:8" ht="12.95" customHeight="1" x14ac:dyDescent="0.2">
      <c r="A824" s="242"/>
      <c r="B824" s="241"/>
      <c r="C824" s="243"/>
      <c r="D824" s="241"/>
      <c r="F824" s="242"/>
      <c r="G824" s="241"/>
      <c r="H824" s="241"/>
    </row>
    <row r="825" spans="1:8" ht="12.95" customHeight="1" x14ac:dyDescent="0.2">
      <c r="A825" s="242"/>
      <c r="B825" s="241"/>
      <c r="C825" s="243"/>
      <c r="D825" s="241"/>
      <c r="F825" s="242"/>
      <c r="G825" s="241"/>
      <c r="H825" s="241"/>
    </row>
    <row r="826" spans="1:8" ht="12.95" customHeight="1" x14ac:dyDescent="0.2">
      <c r="A826" s="242"/>
      <c r="B826" s="241"/>
      <c r="C826" s="243"/>
      <c r="D826" s="241"/>
      <c r="F826" s="242"/>
      <c r="G826" s="241"/>
      <c r="H826" s="241"/>
    </row>
    <row r="827" spans="1:8" ht="12.95" customHeight="1" x14ac:dyDescent="0.2">
      <c r="A827" s="242"/>
      <c r="B827" s="241"/>
      <c r="C827" s="243"/>
      <c r="D827" s="241"/>
      <c r="F827" s="242"/>
      <c r="G827" s="241"/>
      <c r="H827" s="241"/>
    </row>
    <row r="828" spans="1:8" ht="12.95" customHeight="1" x14ac:dyDescent="0.2">
      <c r="A828" s="242"/>
      <c r="B828" s="241"/>
      <c r="C828" s="243"/>
      <c r="D828" s="241"/>
      <c r="F828" s="242"/>
      <c r="G828" s="241"/>
      <c r="H828" s="241"/>
    </row>
    <row r="829" spans="1:8" ht="12.95" customHeight="1" x14ac:dyDescent="0.2">
      <c r="A829" s="242"/>
      <c r="B829" s="241"/>
      <c r="C829" s="243"/>
      <c r="D829" s="241"/>
      <c r="F829" s="242"/>
      <c r="G829" s="241"/>
      <c r="H829" s="241"/>
    </row>
    <row r="830" spans="1:8" ht="12.95" customHeight="1" x14ac:dyDescent="0.2">
      <c r="A830" s="242"/>
      <c r="B830" s="241"/>
      <c r="C830" s="243"/>
      <c r="D830" s="241"/>
      <c r="F830" s="242"/>
      <c r="G830" s="241"/>
      <c r="H830" s="241"/>
    </row>
    <row r="831" spans="1:8" ht="12.95" customHeight="1" x14ac:dyDescent="0.2">
      <c r="A831" s="242"/>
      <c r="B831" s="241"/>
      <c r="C831" s="243"/>
      <c r="D831" s="241"/>
      <c r="F831" s="242"/>
      <c r="G831" s="241"/>
      <c r="H831" s="241"/>
    </row>
    <row r="832" spans="1:8" ht="12.95" customHeight="1" x14ac:dyDescent="0.2">
      <c r="A832" s="242"/>
      <c r="B832" s="241"/>
      <c r="C832" s="243"/>
      <c r="D832" s="241"/>
      <c r="F832" s="242"/>
      <c r="G832" s="241"/>
      <c r="H832" s="241"/>
    </row>
    <row r="833" spans="1:8" ht="12.95" customHeight="1" x14ac:dyDescent="0.2">
      <c r="A833" s="242"/>
      <c r="B833" s="241"/>
      <c r="C833" s="243"/>
      <c r="D833" s="241"/>
      <c r="F833" s="242"/>
      <c r="G833" s="241"/>
      <c r="H833" s="241"/>
    </row>
    <row r="834" spans="1:8" ht="12.95" customHeight="1" x14ac:dyDescent="0.2">
      <c r="A834" s="242"/>
      <c r="B834" s="241"/>
      <c r="C834" s="243"/>
      <c r="D834" s="241"/>
      <c r="F834" s="242"/>
      <c r="G834" s="241"/>
      <c r="H834" s="241"/>
    </row>
    <row r="835" spans="1:8" ht="12.95" customHeight="1" x14ac:dyDescent="0.2">
      <c r="A835" s="242"/>
      <c r="B835" s="241"/>
      <c r="C835" s="243"/>
      <c r="D835" s="241"/>
      <c r="F835" s="242"/>
      <c r="G835" s="241"/>
      <c r="H835" s="241"/>
    </row>
    <row r="836" spans="1:8" ht="12.95" customHeight="1" x14ac:dyDescent="0.2">
      <c r="A836" s="242"/>
      <c r="B836" s="241"/>
      <c r="C836" s="243"/>
      <c r="D836" s="241"/>
      <c r="F836" s="242"/>
      <c r="G836" s="241"/>
      <c r="H836" s="241"/>
    </row>
    <row r="837" spans="1:8" ht="12.95" customHeight="1" x14ac:dyDescent="0.2">
      <c r="A837" s="242"/>
      <c r="B837" s="241"/>
      <c r="C837" s="243"/>
      <c r="D837" s="241"/>
      <c r="F837" s="242"/>
      <c r="G837" s="241"/>
      <c r="H837" s="241"/>
    </row>
    <row r="838" spans="1:8" ht="12.95" customHeight="1" x14ac:dyDescent="0.2">
      <c r="A838" s="242"/>
      <c r="B838" s="241"/>
      <c r="C838" s="243"/>
      <c r="D838" s="241"/>
      <c r="F838" s="242"/>
      <c r="G838" s="241"/>
      <c r="H838" s="241"/>
    </row>
    <row r="839" spans="1:8" ht="12.95" customHeight="1" x14ac:dyDescent="0.2">
      <c r="A839" s="242"/>
      <c r="B839" s="241"/>
      <c r="C839" s="243"/>
      <c r="D839" s="241"/>
      <c r="F839" s="242"/>
      <c r="G839" s="241"/>
      <c r="H839" s="241"/>
    </row>
    <row r="840" spans="1:8" ht="12.95" customHeight="1" x14ac:dyDescent="0.2">
      <c r="A840" s="242"/>
      <c r="B840" s="241"/>
      <c r="C840" s="243"/>
      <c r="D840" s="241"/>
      <c r="F840" s="242"/>
      <c r="G840" s="241"/>
      <c r="H840" s="241"/>
    </row>
    <row r="841" spans="1:8" ht="12.95" customHeight="1" x14ac:dyDescent="0.2">
      <c r="A841" s="242"/>
      <c r="B841" s="241"/>
      <c r="C841" s="243"/>
      <c r="D841" s="241"/>
      <c r="F841" s="242"/>
      <c r="G841" s="241"/>
      <c r="H841" s="241"/>
    </row>
    <row r="842" spans="1:8" ht="12.95" customHeight="1" x14ac:dyDescent="0.2">
      <c r="A842" s="242"/>
      <c r="B842" s="241"/>
      <c r="C842" s="243"/>
      <c r="D842" s="241"/>
      <c r="F842" s="242"/>
      <c r="G842" s="241"/>
      <c r="H842" s="241"/>
    </row>
    <row r="843" spans="1:8" ht="12.95" customHeight="1" x14ac:dyDescent="0.2">
      <c r="A843" s="242"/>
      <c r="B843" s="241"/>
      <c r="C843" s="243"/>
      <c r="D843" s="241"/>
      <c r="F843" s="242"/>
      <c r="G843" s="241"/>
      <c r="H843" s="241"/>
    </row>
    <row r="844" spans="1:8" ht="12.95" customHeight="1" x14ac:dyDescent="0.2">
      <c r="A844" s="242"/>
      <c r="B844" s="241"/>
      <c r="C844" s="243"/>
      <c r="D844" s="241"/>
      <c r="F844" s="242"/>
      <c r="G844" s="241"/>
      <c r="H844" s="241"/>
    </row>
    <row r="845" spans="1:8" ht="12.95" customHeight="1" x14ac:dyDescent="0.2">
      <c r="A845" s="242"/>
      <c r="B845" s="241"/>
      <c r="C845" s="243"/>
      <c r="D845" s="241"/>
      <c r="F845" s="242"/>
      <c r="G845" s="241"/>
      <c r="H845" s="241"/>
    </row>
    <row r="846" spans="1:8" ht="12.95" customHeight="1" x14ac:dyDescent="0.2">
      <c r="A846" s="242"/>
      <c r="B846" s="241"/>
      <c r="C846" s="243"/>
      <c r="D846" s="241"/>
      <c r="F846" s="242"/>
      <c r="G846" s="241"/>
      <c r="H846" s="241"/>
    </row>
    <row r="847" spans="1:8" ht="12.95" customHeight="1" x14ac:dyDescent="0.2">
      <c r="A847" s="242"/>
      <c r="B847" s="241"/>
      <c r="C847" s="243"/>
      <c r="D847" s="241"/>
      <c r="F847" s="242"/>
      <c r="G847" s="241"/>
      <c r="H847" s="241"/>
    </row>
    <row r="848" spans="1:8" ht="12.95" customHeight="1" x14ac:dyDescent="0.2">
      <c r="A848" s="242"/>
      <c r="B848" s="241"/>
      <c r="C848" s="243"/>
      <c r="D848" s="241"/>
      <c r="F848" s="242"/>
      <c r="G848" s="241"/>
      <c r="H848" s="241"/>
    </row>
    <row r="849" spans="1:8" ht="12.95" customHeight="1" x14ac:dyDescent="0.2">
      <c r="A849" s="242"/>
      <c r="B849" s="241"/>
      <c r="C849" s="243"/>
      <c r="D849" s="241"/>
      <c r="F849" s="242"/>
      <c r="G849" s="241"/>
      <c r="H849" s="241"/>
    </row>
    <row r="850" spans="1:8" ht="12.95" customHeight="1" x14ac:dyDescent="0.2">
      <c r="A850" s="242"/>
      <c r="B850" s="241"/>
      <c r="C850" s="243"/>
      <c r="D850" s="241"/>
      <c r="F850" s="242"/>
      <c r="G850" s="241"/>
      <c r="H850" s="241"/>
    </row>
    <row r="851" spans="1:8" ht="12.95" customHeight="1" x14ac:dyDescent="0.2">
      <c r="A851" s="242"/>
      <c r="B851" s="241"/>
      <c r="C851" s="243"/>
      <c r="D851" s="241"/>
      <c r="F851" s="242"/>
      <c r="G851" s="241"/>
      <c r="H851" s="241"/>
    </row>
    <row r="852" spans="1:8" ht="12.95" customHeight="1" x14ac:dyDescent="0.2">
      <c r="A852" s="242"/>
      <c r="B852" s="241"/>
      <c r="C852" s="243"/>
      <c r="D852" s="241"/>
      <c r="F852" s="242"/>
      <c r="G852" s="241"/>
      <c r="H852" s="241"/>
    </row>
    <row r="853" spans="1:8" ht="12.95" customHeight="1" x14ac:dyDescent="0.2">
      <c r="A853" s="242"/>
      <c r="B853" s="241"/>
      <c r="C853" s="243"/>
      <c r="D853" s="241"/>
      <c r="F853" s="242"/>
      <c r="G853" s="241"/>
      <c r="H853" s="241"/>
    </row>
    <row r="854" spans="1:8" ht="12.95" customHeight="1" x14ac:dyDescent="0.2">
      <c r="A854" s="242"/>
      <c r="B854" s="241"/>
      <c r="C854" s="243"/>
      <c r="D854" s="241"/>
      <c r="F854" s="242"/>
      <c r="G854" s="241"/>
      <c r="H854" s="241"/>
    </row>
    <row r="855" spans="1:8" ht="12.95" customHeight="1" x14ac:dyDescent="0.2">
      <c r="A855" s="242"/>
      <c r="B855" s="241"/>
      <c r="C855" s="243"/>
      <c r="D855" s="241"/>
      <c r="F855" s="242"/>
      <c r="G855" s="241"/>
      <c r="H855" s="241"/>
    </row>
    <row r="856" spans="1:8" ht="12.95" customHeight="1" x14ac:dyDescent="0.2">
      <c r="A856" s="242"/>
      <c r="B856" s="241"/>
      <c r="C856" s="243"/>
      <c r="D856" s="241"/>
      <c r="F856" s="242"/>
      <c r="G856" s="241"/>
      <c r="H856" s="241"/>
    </row>
    <row r="857" spans="1:8" ht="12.95" customHeight="1" x14ac:dyDescent="0.2">
      <c r="A857" s="242"/>
      <c r="B857" s="241"/>
      <c r="C857" s="243"/>
      <c r="D857" s="241"/>
      <c r="F857" s="242"/>
      <c r="G857" s="241"/>
      <c r="H857" s="241"/>
    </row>
    <row r="858" spans="1:8" ht="12.95" customHeight="1" x14ac:dyDescent="0.2">
      <c r="A858" s="242"/>
      <c r="B858" s="241"/>
      <c r="C858" s="243"/>
      <c r="D858" s="241"/>
      <c r="F858" s="242"/>
      <c r="G858" s="241"/>
      <c r="H858" s="241"/>
    </row>
    <row r="859" spans="1:8" ht="12.95" customHeight="1" x14ac:dyDescent="0.2">
      <c r="A859" s="242"/>
      <c r="B859" s="241"/>
      <c r="C859" s="243"/>
      <c r="D859" s="241"/>
      <c r="F859" s="242"/>
      <c r="G859" s="241"/>
      <c r="H859" s="241"/>
    </row>
    <row r="860" spans="1:8" ht="12.95" customHeight="1" x14ac:dyDescent="0.2">
      <c r="A860" s="242"/>
      <c r="B860" s="241"/>
      <c r="C860" s="243"/>
      <c r="D860" s="241"/>
      <c r="F860" s="242"/>
      <c r="G860" s="241"/>
      <c r="H860" s="241"/>
    </row>
    <row r="861" spans="1:8" ht="12.95" customHeight="1" x14ac:dyDescent="0.2">
      <c r="A861" s="242"/>
      <c r="B861" s="241"/>
      <c r="C861" s="243"/>
      <c r="D861" s="241"/>
      <c r="F861" s="242"/>
      <c r="G861" s="241"/>
      <c r="H861" s="241"/>
    </row>
    <row r="862" spans="1:8" ht="12.95" customHeight="1" x14ac:dyDescent="0.2">
      <c r="A862" s="242"/>
      <c r="B862" s="241"/>
      <c r="C862" s="243"/>
      <c r="D862" s="241"/>
      <c r="F862" s="242"/>
      <c r="G862" s="241"/>
      <c r="H862" s="241"/>
    </row>
    <row r="863" spans="1:8" ht="12.95" customHeight="1" x14ac:dyDescent="0.2">
      <c r="A863" s="242"/>
      <c r="B863" s="241"/>
      <c r="C863" s="243"/>
      <c r="D863" s="241"/>
      <c r="F863" s="242"/>
      <c r="G863" s="241"/>
      <c r="H863" s="241"/>
    </row>
    <row r="864" spans="1:8" ht="12.95" customHeight="1" x14ac:dyDescent="0.2">
      <c r="A864" s="242"/>
      <c r="B864" s="241"/>
      <c r="C864" s="243"/>
      <c r="D864" s="241"/>
      <c r="F864" s="242"/>
      <c r="G864" s="241"/>
      <c r="H864" s="241"/>
    </row>
    <row r="865" spans="1:8" ht="12.95" customHeight="1" x14ac:dyDescent="0.2">
      <c r="A865" s="242"/>
      <c r="B865" s="241"/>
      <c r="C865" s="243"/>
      <c r="D865" s="241"/>
      <c r="F865" s="242"/>
      <c r="G865" s="241"/>
      <c r="H865" s="241"/>
    </row>
    <row r="866" spans="1:8" ht="12.95" customHeight="1" x14ac:dyDescent="0.2">
      <c r="A866" s="242"/>
      <c r="B866" s="241"/>
      <c r="C866" s="243"/>
      <c r="D866" s="241"/>
      <c r="F866" s="242"/>
      <c r="G866" s="241"/>
      <c r="H866" s="241"/>
    </row>
    <row r="867" spans="1:8" ht="12.95" customHeight="1" x14ac:dyDescent="0.2">
      <c r="A867" s="242"/>
      <c r="B867" s="241"/>
      <c r="C867" s="243"/>
      <c r="D867" s="241"/>
      <c r="F867" s="242"/>
      <c r="G867" s="241"/>
      <c r="H867" s="241"/>
    </row>
    <row r="868" spans="1:8" ht="12.95" customHeight="1" x14ac:dyDescent="0.2">
      <c r="A868" s="242"/>
      <c r="B868" s="241"/>
      <c r="C868" s="243"/>
      <c r="D868" s="241"/>
      <c r="F868" s="242"/>
      <c r="G868" s="241"/>
      <c r="H868" s="241"/>
    </row>
    <row r="869" spans="1:8" ht="12.95" customHeight="1" x14ac:dyDescent="0.2">
      <c r="A869" s="242"/>
      <c r="B869" s="241"/>
      <c r="C869" s="243"/>
      <c r="D869" s="241"/>
      <c r="F869" s="242"/>
      <c r="G869" s="241"/>
      <c r="H869" s="241"/>
    </row>
    <row r="870" spans="1:8" ht="12.95" customHeight="1" x14ac:dyDescent="0.2">
      <c r="A870" s="242"/>
      <c r="B870" s="241"/>
      <c r="C870" s="243"/>
      <c r="D870" s="241"/>
      <c r="F870" s="242"/>
      <c r="G870" s="241"/>
      <c r="H870" s="241"/>
    </row>
    <row r="871" spans="1:8" ht="12.95" customHeight="1" x14ac:dyDescent="0.2">
      <c r="A871" s="242"/>
      <c r="B871" s="241"/>
      <c r="C871" s="243"/>
      <c r="D871" s="241"/>
      <c r="F871" s="242"/>
      <c r="G871" s="241"/>
      <c r="H871" s="241"/>
    </row>
    <row r="872" spans="1:8" ht="12.95" customHeight="1" x14ac:dyDescent="0.2">
      <c r="A872" s="242"/>
      <c r="B872" s="241"/>
      <c r="C872" s="243"/>
      <c r="D872" s="241"/>
      <c r="F872" s="242"/>
      <c r="G872" s="241"/>
      <c r="H872" s="241"/>
    </row>
    <row r="873" spans="1:8" ht="12.95" customHeight="1" x14ac:dyDescent="0.2">
      <c r="A873" s="242"/>
      <c r="B873" s="241"/>
      <c r="C873" s="243"/>
      <c r="D873" s="241"/>
      <c r="F873" s="242"/>
      <c r="G873" s="241"/>
      <c r="H873" s="241"/>
    </row>
    <row r="874" spans="1:8" ht="12.95" customHeight="1" x14ac:dyDescent="0.2">
      <c r="A874" s="242"/>
      <c r="B874" s="241"/>
      <c r="C874" s="243"/>
      <c r="D874" s="241"/>
      <c r="F874" s="242"/>
      <c r="G874" s="241"/>
      <c r="H874" s="241"/>
    </row>
    <row r="875" spans="1:8" ht="12.95" customHeight="1" x14ac:dyDescent="0.2">
      <c r="A875" s="242"/>
      <c r="B875" s="241"/>
      <c r="C875" s="243"/>
      <c r="D875" s="241"/>
      <c r="F875" s="242"/>
      <c r="G875" s="241"/>
      <c r="H875" s="241"/>
    </row>
    <row r="876" spans="1:8" ht="12.95" customHeight="1" x14ac:dyDescent="0.2">
      <c r="A876" s="242"/>
      <c r="B876" s="241"/>
      <c r="C876" s="243"/>
      <c r="D876" s="241"/>
      <c r="F876" s="242"/>
      <c r="G876" s="241"/>
      <c r="H876" s="241"/>
    </row>
    <row r="877" spans="1:8" ht="12.95" customHeight="1" x14ac:dyDescent="0.2">
      <c r="A877" s="242"/>
      <c r="B877" s="241"/>
      <c r="C877" s="243"/>
      <c r="D877" s="241"/>
      <c r="F877" s="242"/>
      <c r="G877" s="241"/>
      <c r="H877" s="241"/>
    </row>
    <row r="878" spans="1:8" ht="12.95" customHeight="1" x14ac:dyDescent="0.2">
      <c r="A878" s="242"/>
      <c r="B878" s="241"/>
      <c r="C878" s="243"/>
      <c r="D878" s="241"/>
      <c r="F878" s="242"/>
      <c r="G878" s="241"/>
      <c r="H878" s="241"/>
    </row>
    <row r="879" spans="1:8" ht="12.95" customHeight="1" x14ac:dyDescent="0.2">
      <c r="A879" s="242"/>
      <c r="B879" s="241"/>
      <c r="C879" s="243"/>
      <c r="D879" s="241"/>
      <c r="F879" s="242"/>
      <c r="G879" s="241"/>
      <c r="H879" s="241"/>
    </row>
    <row r="880" spans="1:8" ht="12.95" customHeight="1" x14ac:dyDescent="0.2">
      <c r="A880" s="242"/>
      <c r="B880" s="241"/>
      <c r="C880" s="243"/>
      <c r="D880" s="241"/>
      <c r="F880" s="242"/>
      <c r="G880" s="241"/>
      <c r="H880" s="241"/>
    </row>
    <row r="881" spans="1:8" ht="12.95" customHeight="1" x14ac:dyDescent="0.2">
      <c r="A881" s="242"/>
      <c r="B881" s="241"/>
      <c r="C881" s="243"/>
      <c r="D881" s="241"/>
      <c r="F881" s="242"/>
      <c r="G881" s="241"/>
      <c r="H881" s="241"/>
    </row>
    <row r="882" spans="1:8" ht="12.95" customHeight="1" x14ac:dyDescent="0.2">
      <c r="A882" s="242"/>
      <c r="B882" s="241"/>
      <c r="C882" s="243"/>
      <c r="D882" s="241"/>
      <c r="F882" s="242"/>
      <c r="G882" s="241"/>
      <c r="H882" s="241"/>
    </row>
    <row r="883" spans="1:8" ht="12.95" customHeight="1" x14ac:dyDescent="0.2">
      <c r="A883" s="242"/>
      <c r="B883" s="241"/>
      <c r="C883" s="243"/>
      <c r="D883" s="241"/>
      <c r="F883" s="242"/>
      <c r="G883" s="241"/>
      <c r="H883" s="241"/>
    </row>
    <row r="884" spans="1:8" ht="12.95" customHeight="1" x14ac:dyDescent="0.2">
      <c r="A884" s="242"/>
      <c r="B884" s="241"/>
      <c r="C884" s="243"/>
      <c r="D884" s="241"/>
      <c r="F884" s="242"/>
      <c r="G884" s="241"/>
      <c r="H884" s="241"/>
    </row>
    <row r="885" spans="1:8" ht="12.95" customHeight="1" x14ac:dyDescent="0.2">
      <c r="A885" s="242"/>
      <c r="B885" s="241"/>
      <c r="C885" s="243"/>
      <c r="D885" s="241"/>
      <c r="F885" s="242"/>
      <c r="G885" s="241"/>
      <c r="H885" s="241"/>
    </row>
    <row r="886" spans="1:8" ht="12.95" customHeight="1" x14ac:dyDescent="0.2">
      <c r="A886" s="242"/>
      <c r="B886" s="241"/>
      <c r="C886" s="243"/>
      <c r="D886" s="241"/>
      <c r="F886" s="242"/>
      <c r="G886" s="241"/>
      <c r="H886" s="241"/>
    </row>
    <row r="887" spans="1:8" ht="12.95" customHeight="1" x14ac:dyDescent="0.2">
      <c r="A887" s="242"/>
      <c r="B887" s="241"/>
      <c r="C887" s="243"/>
      <c r="D887" s="241"/>
      <c r="F887" s="242"/>
      <c r="G887" s="241"/>
      <c r="H887" s="241"/>
    </row>
    <row r="888" spans="1:8" ht="12.95" customHeight="1" x14ac:dyDescent="0.2">
      <c r="A888" s="242"/>
      <c r="B888" s="241"/>
      <c r="C888" s="243"/>
      <c r="D888" s="241"/>
      <c r="F888" s="242"/>
      <c r="G888" s="241"/>
      <c r="H888" s="241"/>
    </row>
    <row r="889" spans="1:8" ht="12.95" customHeight="1" x14ac:dyDescent="0.2">
      <c r="A889" s="242"/>
      <c r="B889" s="241"/>
      <c r="C889" s="243"/>
      <c r="D889" s="241"/>
      <c r="F889" s="242"/>
      <c r="G889" s="241"/>
      <c r="H889" s="241"/>
    </row>
    <row r="890" spans="1:8" ht="12.95" customHeight="1" x14ac:dyDescent="0.2">
      <c r="A890" s="242"/>
      <c r="B890" s="241"/>
      <c r="C890" s="243"/>
      <c r="D890" s="241"/>
      <c r="F890" s="242"/>
      <c r="G890" s="241"/>
      <c r="H890" s="241"/>
    </row>
    <row r="891" spans="1:8" ht="12.95" customHeight="1" x14ac:dyDescent="0.2">
      <c r="A891" s="242"/>
      <c r="B891" s="241"/>
      <c r="C891" s="243"/>
      <c r="D891" s="241"/>
      <c r="F891" s="242"/>
      <c r="G891" s="241"/>
      <c r="H891" s="241"/>
    </row>
    <row r="892" spans="1:8" ht="12.95" customHeight="1" x14ac:dyDescent="0.2">
      <c r="A892" s="242"/>
      <c r="B892" s="241"/>
      <c r="C892" s="243"/>
      <c r="D892" s="241"/>
      <c r="F892" s="242"/>
      <c r="G892" s="241"/>
      <c r="H892" s="241"/>
    </row>
    <row r="893" spans="1:8" ht="12.95" customHeight="1" x14ac:dyDescent="0.2">
      <c r="A893" s="242"/>
      <c r="B893" s="241"/>
      <c r="C893" s="243"/>
      <c r="D893" s="241"/>
      <c r="F893" s="242"/>
      <c r="G893" s="241"/>
      <c r="H893" s="241"/>
    </row>
    <row r="894" spans="1:8" ht="12.95" customHeight="1" x14ac:dyDescent="0.2">
      <c r="A894" s="242"/>
      <c r="B894" s="241"/>
      <c r="C894" s="243"/>
      <c r="D894" s="241"/>
      <c r="F894" s="242"/>
      <c r="G894" s="241"/>
      <c r="H894" s="241"/>
    </row>
    <row r="895" spans="1:8" ht="12.95" customHeight="1" x14ac:dyDescent="0.2">
      <c r="A895" s="242"/>
      <c r="B895" s="241"/>
      <c r="C895" s="243"/>
      <c r="D895" s="241"/>
      <c r="F895" s="242"/>
      <c r="G895" s="241"/>
      <c r="H895" s="241"/>
    </row>
    <row r="896" spans="1:8" ht="12.95" customHeight="1" x14ac:dyDescent="0.2">
      <c r="A896" s="242"/>
      <c r="B896" s="241"/>
      <c r="C896" s="243"/>
      <c r="D896" s="241"/>
      <c r="F896" s="242"/>
      <c r="G896" s="241"/>
      <c r="H896" s="241"/>
    </row>
    <row r="897" spans="1:8" ht="12.95" customHeight="1" x14ac:dyDescent="0.2">
      <c r="A897" s="242"/>
      <c r="B897" s="241"/>
      <c r="C897" s="243"/>
      <c r="D897" s="241"/>
      <c r="F897" s="242"/>
      <c r="G897" s="241"/>
      <c r="H897" s="241"/>
    </row>
    <row r="898" spans="1:8" ht="12.95" customHeight="1" x14ac:dyDescent="0.2">
      <c r="A898" s="242"/>
      <c r="B898" s="241"/>
      <c r="C898" s="243"/>
      <c r="D898" s="241"/>
      <c r="F898" s="242"/>
      <c r="G898" s="241"/>
      <c r="H898" s="241"/>
    </row>
    <row r="899" spans="1:8" ht="12.95" customHeight="1" x14ac:dyDescent="0.2">
      <c r="A899" s="242"/>
      <c r="B899" s="241"/>
      <c r="C899" s="243"/>
      <c r="D899" s="241"/>
      <c r="F899" s="242"/>
      <c r="G899" s="241"/>
      <c r="H899" s="241"/>
    </row>
    <row r="900" spans="1:8" ht="12.95" customHeight="1" x14ac:dyDescent="0.2">
      <c r="A900" s="242"/>
      <c r="B900" s="241"/>
      <c r="C900" s="243"/>
      <c r="D900" s="241"/>
      <c r="F900" s="242"/>
      <c r="G900" s="241"/>
      <c r="H900" s="241"/>
    </row>
    <row r="901" spans="1:8" ht="12.95" customHeight="1" x14ac:dyDescent="0.2">
      <c r="A901" s="242"/>
      <c r="B901" s="241"/>
      <c r="C901" s="243"/>
      <c r="D901" s="241"/>
      <c r="F901" s="242"/>
      <c r="G901" s="241"/>
      <c r="H901" s="241"/>
    </row>
    <row r="902" spans="1:8" ht="12.95" customHeight="1" x14ac:dyDescent="0.2">
      <c r="A902" s="242"/>
      <c r="B902" s="241"/>
      <c r="C902" s="243"/>
      <c r="D902" s="241"/>
      <c r="F902" s="242"/>
      <c r="G902" s="241"/>
      <c r="H902" s="241"/>
    </row>
    <row r="903" spans="1:8" ht="12.95" customHeight="1" x14ac:dyDescent="0.2">
      <c r="A903" s="242"/>
      <c r="B903" s="241"/>
      <c r="C903" s="243"/>
      <c r="D903" s="241"/>
      <c r="F903" s="242"/>
      <c r="G903" s="241"/>
      <c r="H903" s="241"/>
    </row>
    <row r="904" spans="1:8" ht="12.95" customHeight="1" x14ac:dyDescent="0.2">
      <c r="A904" s="242"/>
      <c r="B904" s="241"/>
      <c r="C904" s="243"/>
      <c r="D904" s="241"/>
      <c r="F904" s="242"/>
      <c r="G904" s="241"/>
      <c r="H904" s="241"/>
    </row>
    <row r="905" spans="1:8" ht="12.95" customHeight="1" x14ac:dyDescent="0.2">
      <c r="A905" s="242"/>
      <c r="B905" s="241"/>
      <c r="C905" s="243"/>
      <c r="D905" s="241"/>
      <c r="F905" s="242"/>
      <c r="G905" s="241"/>
      <c r="H905" s="241"/>
    </row>
    <row r="906" spans="1:8" ht="12.95" customHeight="1" x14ac:dyDescent="0.2">
      <c r="A906" s="242"/>
      <c r="B906" s="241"/>
      <c r="C906" s="243"/>
      <c r="D906" s="241"/>
      <c r="F906" s="242"/>
      <c r="G906" s="241"/>
      <c r="H906" s="241"/>
    </row>
    <row r="907" spans="1:8" ht="12.95" customHeight="1" x14ac:dyDescent="0.2">
      <c r="A907" s="242"/>
      <c r="B907" s="241"/>
      <c r="C907" s="243"/>
      <c r="D907" s="241"/>
      <c r="F907" s="242"/>
      <c r="G907" s="241"/>
      <c r="H907" s="241"/>
    </row>
    <row r="908" spans="1:8" ht="12.95" customHeight="1" x14ac:dyDescent="0.2">
      <c r="A908" s="242"/>
      <c r="B908" s="241"/>
      <c r="C908" s="243"/>
      <c r="D908" s="241"/>
      <c r="F908" s="242"/>
      <c r="G908" s="241"/>
      <c r="H908" s="241"/>
    </row>
    <row r="909" spans="1:8" ht="12.95" customHeight="1" x14ac:dyDescent="0.2">
      <c r="A909" s="242"/>
      <c r="B909" s="241"/>
      <c r="C909" s="243"/>
      <c r="D909" s="241"/>
      <c r="F909" s="242"/>
      <c r="G909" s="241"/>
      <c r="H909" s="241"/>
    </row>
    <row r="910" spans="1:8" ht="12.95" customHeight="1" x14ac:dyDescent="0.2">
      <c r="A910" s="242"/>
      <c r="B910" s="241"/>
      <c r="C910" s="243"/>
      <c r="D910" s="241"/>
      <c r="F910" s="242"/>
      <c r="G910" s="241"/>
      <c r="H910" s="241"/>
    </row>
    <row r="911" spans="1:8" ht="12.95" customHeight="1" x14ac:dyDescent="0.2">
      <c r="A911" s="242"/>
      <c r="B911" s="241"/>
      <c r="C911" s="243"/>
      <c r="D911" s="241"/>
      <c r="F911" s="242"/>
      <c r="G911" s="241"/>
      <c r="H911" s="241"/>
    </row>
    <row r="912" spans="1:8" ht="12.95" customHeight="1" x14ac:dyDescent="0.2">
      <c r="A912" s="242"/>
      <c r="B912" s="241"/>
      <c r="C912" s="243"/>
      <c r="D912" s="241"/>
      <c r="F912" s="242"/>
      <c r="G912" s="241"/>
      <c r="H912" s="241"/>
    </row>
    <row r="913" spans="1:8" ht="12.95" customHeight="1" x14ac:dyDescent="0.2">
      <c r="A913" s="242"/>
      <c r="B913" s="241"/>
      <c r="C913" s="243"/>
      <c r="D913" s="241"/>
      <c r="F913" s="242"/>
      <c r="G913" s="241"/>
      <c r="H913" s="241"/>
    </row>
    <row r="914" spans="1:8" ht="12.95" customHeight="1" x14ac:dyDescent="0.2">
      <c r="A914" s="242"/>
      <c r="B914" s="241"/>
      <c r="C914" s="243"/>
      <c r="D914" s="241"/>
      <c r="F914" s="242"/>
      <c r="G914" s="241"/>
      <c r="H914" s="241"/>
    </row>
    <row r="915" spans="1:8" ht="12.95" customHeight="1" x14ac:dyDescent="0.2">
      <c r="A915" s="242"/>
      <c r="B915" s="241"/>
      <c r="C915" s="243"/>
      <c r="D915" s="241"/>
      <c r="F915" s="242"/>
      <c r="G915" s="241"/>
      <c r="H915" s="241"/>
    </row>
    <row r="916" spans="1:8" ht="12.95" customHeight="1" x14ac:dyDescent="0.2">
      <c r="A916" s="242"/>
      <c r="B916" s="241"/>
      <c r="C916" s="243"/>
      <c r="D916" s="241"/>
      <c r="F916" s="242"/>
      <c r="G916" s="241"/>
      <c r="H916" s="241"/>
    </row>
    <row r="917" spans="1:8" ht="12.95" customHeight="1" x14ac:dyDescent="0.2">
      <c r="A917" s="242"/>
      <c r="B917" s="241"/>
      <c r="C917" s="243"/>
      <c r="D917" s="241"/>
      <c r="F917" s="242"/>
      <c r="G917" s="241"/>
      <c r="H917" s="241"/>
    </row>
    <row r="918" spans="1:8" ht="12.95" customHeight="1" x14ac:dyDescent="0.2">
      <c r="A918" s="242"/>
      <c r="B918" s="241"/>
      <c r="C918" s="243"/>
      <c r="D918" s="241"/>
      <c r="F918" s="242"/>
      <c r="G918" s="241"/>
      <c r="H918" s="241"/>
    </row>
    <row r="919" spans="1:8" ht="12.95" customHeight="1" x14ac:dyDescent="0.2">
      <c r="A919" s="242"/>
      <c r="B919" s="241"/>
      <c r="C919" s="243"/>
      <c r="D919" s="241"/>
      <c r="F919" s="242"/>
      <c r="G919" s="241"/>
      <c r="H919" s="241"/>
    </row>
    <row r="920" spans="1:8" ht="12.95" customHeight="1" x14ac:dyDescent="0.2">
      <c r="A920" s="242"/>
      <c r="B920" s="241"/>
      <c r="C920" s="243"/>
      <c r="D920" s="241"/>
      <c r="F920" s="242"/>
      <c r="G920" s="241"/>
      <c r="H920" s="241"/>
    </row>
    <row r="921" spans="1:8" ht="12.95" customHeight="1" x14ac:dyDescent="0.2">
      <c r="A921" s="242"/>
      <c r="B921" s="241"/>
      <c r="C921" s="243"/>
      <c r="D921" s="241"/>
      <c r="F921" s="242"/>
      <c r="G921" s="241"/>
      <c r="H921" s="241"/>
    </row>
    <row r="922" spans="1:8" ht="12.95" customHeight="1" x14ac:dyDescent="0.2">
      <c r="A922" s="242"/>
      <c r="B922" s="241"/>
      <c r="C922" s="243"/>
      <c r="D922" s="241"/>
      <c r="F922" s="242"/>
      <c r="G922" s="241"/>
      <c r="H922" s="241"/>
    </row>
    <row r="923" spans="1:8" ht="12.95" customHeight="1" x14ac:dyDescent="0.2">
      <c r="A923" s="242"/>
      <c r="B923" s="241"/>
      <c r="C923" s="243"/>
      <c r="D923" s="241"/>
      <c r="F923" s="242"/>
      <c r="G923" s="241"/>
      <c r="H923" s="241"/>
    </row>
    <row r="924" spans="1:8" ht="12.95" customHeight="1" x14ac:dyDescent="0.2">
      <c r="A924" s="242"/>
      <c r="B924" s="241"/>
      <c r="C924" s="243"/>
      <c r="D924" s="241"/>
      <c r="F924" s="242"/>
      <c r="G924" s="241"/>
      <c r="H924" s="241"/>
    </row>
    <row r="925" spans="1:8" ht="12.95" customHeight="1" x14ac:dyDescent="0.2">
      <c r="A925" s="242"/>
      <c r="B925" s="241"/>
      <c r="C925" s="243"/>
      <c r="D925" s="241"/>
      <c r="F925" s="242"/>
      <c r="G925" s="241"/>
      <c r="H925" s="241"/>
    </row>
    <row r="926" spans="1:8" ht="12.95" customHeight="1" x14ac:dyDescent="0.2">
      <c r="A926" s="242"/>
      <c r="B926" s="241"/>
      <c r="C926" s="243"/>
      <c r="D926" s="241"/>
      <c r="F926" s="242"/>
      <c r="G926" s="241"/>
      <c r="H926" s="241"/>
    </row>
    <row r="927" spans="1:8" ht="12.95" customHeight="1" x14ac:dyDescent="0.2">
      <c r="A927" s="242"/>
      <c r="B927" s="241"/>
      <c r="C927" s="243"/>
      <c r="D927" s="241"/>
      <c r="F927" s="242"/>
      <c r="G927" s="241"/>
      <c r="H927" s="241"/>
    </row>
    <row r="928" spans="1:8" ht="12.95" customHeight="1" x14ac:dyDescent="0.2">
      <c r="A928" s="242"/>
      <c r="B928" s="241"/>
      <c r="C928" s="243"/>
      <c r="D928" s="241"/>
      <c r="F928" s="242"/>
      <c r="G928" s="241"/>
      <c r="H928" s="241"/>
    </row>
    <row r="929" spans="1:8" ht="12.95" customHeight="1" x14ac:dyDescent="0.2">
      <c r="A929" s="242"/>
      <c r="B929" s="241"/>
      <c r="C929" s="243"/>
      <c r="D929" s="241"/>
      <c r="F929" s="242"/>
      <c r="G929" s="241"/>
      <c r="H929" s="241"/>
    </row>
    <row r="930" spans="1:8" ht="12.95" customHeight="1" x14ac:dyDescent="0.2">
      <c r="A930" s="242"/>
      <c r="B930" s="241"/>
      <c r="C930" s="243"/>
      <c r="D930" s="241"/>
      <c r="F930" s="242"/>
      <c r="G930" s="241"/>
      <c r="H930" s="241"/>
    </row>
    <row r="931" spans="1:8" ht="12.95" customHeight="1" x14ac:dyDescent="0.2">
      <c r="A931" s="242"/>
      <c r="B931" s="241"/>
      <c r="C931" s="243"/>
      <c r="D931" s="241"/>
      <c r="F931" s="242"/>
      <c r="G931" s="241"/>
      <c r="H931" s="241"/>
    </row>
    <row r="932" spans="1:8" ht="12.95" customHeight="1" x14ac:dyDescent="0.2">
      <c r="A932" s="242"/>
      <c r="B932" s="241"/>
      <c r="C932" s="243"/>
      <c r="D932" s="241"/>
      <c r="F932" s="242"/>
      <c r="G932" s="241"/>
      <c r="H932" s="241"/>
    </row>
    <row r="933" spans="1:8" ht="12.95" customHeight="1" x14ac:dyDescent="0.2">
      <c r="A933" s="242"/>
      <c r="B933" s="241"/>
      <c r="C933" s="243"/>
      <c r="D933" s="241"/>
      <c r="F933" s="242"/>
      <c r="G933" s="241"/>
      <c r="H933" s="241"/>
    </row>
    <row r="934" spans="1:8" ht="12.95" customHeight="1" x14ac:dyDescent="0.2">
      <c r="A934" s="242"/>
      <c r="B934" s="241"/>
      <c r="C934" s="243"/>
      <c r="D934" s="241"/>
      <c r="F934" s="242"/>
      <c r="G934" s="241"/>
      <c r="H934" s="241"/>
    </row>
    <row r="935" spans="1:8" ht="12.95" customHeight="1" x14ac:dyDescent="0.2">
      <c r="A935" s="242"/>
      <c r="B935" s="241"/>
      <c r="C935" s="243"/>
      <c r="D935" s="241"/>
      <c r="F935" s="242"/>
      <c r="G935" s="241"/>
      <c r="H935" s="241"/>
    </row>
    <row r="936" spans="1:8" ht="12.95" customHeight="1" x14ac:dyDescent="0.2">
      <c r="A936" s="242"/>
      <c r="B936" s="241"/>
      <c r="C936" s="243"/>
      <c r="D936" s="241"/>
      <c r="F936" s="242"/>
      <c r="G936" s="241"/>
      <c r="H936" s="241"/>
    </row>
    <row r="937" spans="1:8" ht="12.95" customHeight="1" x14ac:dyDescent="0.2">
      <c r="A937" s="242"/>
      <c r="B937" s="241"/>
      <c r="C937" s="243"/>
      <c r="D937" s="241"/>
      <c r="F937" s="242"/>
      <c r="G937" s="241"/>
      <c r="H937" s="241"/>
    </row>
    <row r="938" spans="1:8" ht="12.95" customHeight="1" x14ac:dyDescent="0.2">
      <c r="A938" s="242"/>
      <c r="B938" s="241"/>
      <c r="C938" s="243"/>
      <c r="D938" s="241"/>
      <c r="F938" s="242"/>
      <c r="G938" s="241"/>
      <c r="H938" s="241"/>
    </row>
    <row r="939" spans="1:8" ht="12.95" customHeight="1" x14ac:dyDescent="0.2">
      <c r="A939" s="242"/>
      <c r="B939" s="241"/>
      <c r="C939" s="243"/>
      <c r="D939" s="241"/>
      <c r="F939" s="242"/>
      <c r="G939" s="241"/>
      <c r="H939" s="241"/>
    </row>
    <row r="940" spans="1:8" ht="12.95" customHeight="1" x14ac:dyDescent="0.2">
      <c r="A940" s="242"/>
      <c r="B940" s="241"/>
      <c r="C940" s="243"/>
      <c r="D940" s="241"/>
      <c r="F940" s="242"/>
      <c r="G940" s="241"/>
      <c r="H940" s="241"/>
    </row>
    <row r="941" spans="1:8" ht="12.95" customHeight="1" x14ac:dyDescent="0.2">
      <c r="A941" s="242"/>
      <c r="B941" s="241"/>
      <c r="C941" s="243"/>
      <c r="D941" s="241"/>
      <c r="F941" s="242"/>
      <c r="G941" s="241"/>
      <c r="H941" s="241"/>
    </row>
    <row r="942" spans="1:8" ht="12.95" customHeight="1" x14ac:dyDescent="0.2">
      <c r="A942" s="242"/>
      <c r="B942" s="241"/>
      <c r="C942" s="243"/>
      <c r="D942" s="241"/>
      <c r="F942" s="242"/>
      <c r="G942" s="241"/>
      <c r="H942" s="241"/>
    </row>
    <row r="943" spans="1:8" ht="12.95" customHeight="1" x14ac:dyDescent="0.2">
      <c r="A943" s="242"/>
      <c r="B943" s="241"/>
      <c r="C943" s="243"/>
      <c r="D943" s="241"/>
      <c r="F943" s="242"/>
      <c r="G943" s="241"/>
      <c r="H943" s="241"/>
    </row>
    <row r="944" spans="1:8" ht="12.95" customHeight="1" x14ac:dyDescent="0.2">
      <c r="A944" s="242"/>
      <c r="B944" s="241"/>
      <c r="C944" s="243"/>
      <c r="D944" s="241"/>
      <c r="F944" s="242"/>
      <c r="G944" s="241"/>
      <c r="H944" s="241"/>
    </row>
    <row r="945" spans="1:8" ht="12.95" customHeight="1" x14ac:dyDescent="0.2">
      <c r="A945" s="242"/>
      <c r="B945" s="241"/>
      <c r="C945" s="243"/>
      <c r="D945" s="241"/>
      <c r="F945" s="242"/>
      <c r="G945" s="241"/>
      <c r="H945" s="241"/>
    </row>
    <row r="946" spans="1:8" ht="12.95" customHeight="1" x14ac:dyDescent="0.2">
      <c r="A946" s="242"/>
      <c r="B946" s="241"/>
      <c r="C946" s="243"/>
      <c r="D946" s="241"/>
      <c r="F946" s="242"/>
      <c r="G946" s="241"/>
      <c r="H946" s="241"/>
    </row>
    <row r="947" spans="1:8" ht="12.95" customHeight="1" x14ac:dyDescent="0.2">
      <c r="A947" s="242"/>
      <c r="B947" s="241"/>
      <c r="C947" s="243"/>
      <c r="D947" s="241"/>
      <c r="F947" s="242"/>
      <c r="G947" s="241"/>
      <c r="H947" s="241"/>
    </row>
    <row r="948" spans="1:8" ht="12.95" customHeight="1" x14ac:dyDescent="0.2">
      <c r="A948" s="242"/>
      <c r="B948" s="241"/>
      <c r="C948" s="243"/>
      <c r="D948" s="241"/>
      <c r="F948" s="242"/>
      <c r="G948" s="241"/>
      <c r="H948" s="241"/>
    </row>
    <row r="949" spans="1:8" ht="12.95" customHeight="1" x14ac:dyDescent="0.2">
      <c r="A949" s="242"/>
      <c r="B949" s="241"/>
      <c r="C949" s="243"/>
      <c r="D949" s="241"/>
      <c r="F949" s="242"/>
      <c r="G949" s="241"/>
      <c r="H949" s="241"/>
    </row>
    <row r="950" spans="1:8" ht="12.95" customHeight="1" x14ac:dyDescent="0.2">
      <c r="A950" s="242"/>
      <c r="B950" s="241"/>
      <c r="C950" s="243"/>
      <c r="D950" s="241"/>
      <c r="F950" s="242"/>
      <c r="G950" s="241"/>
      <c r="H950" s="241"/>
    </row>
    <row r="951" spans="1:8" ht="12.95" customHeight="1" x14ac:dyDescent="0.2">
      <c r="A951" s="242"/>
      <c r="B951" s="241"/>
      <c r="C951" s="243"/>
      <c r="D951" s="241"/>
      <c r="F951" s="242"/>
      <c r="G951" s="241"/>
      <c r="H951" s="241"/>
    </row>
    <row r="952" spans="1:8" ht="12.95" customHeight="1" x14ac:dyDescent="0.2">
      <c r="A952" s="242"/>
      <c r="B952" s="241"/>
      <c r="C952" s="243"/>
      <c r="D952" s="241"/>
      <c r="F952" s="242"/>
      <c r="G952" s="241"/>
      <c r="H952" s="241"/>
    </row>
    <row r="953" spans="1:8" ht="12.95" customHeight="1" x14ac:dyDescent="0.2">
      <c r="A953" s="242"/>
      <c r="B953" s="241"/>
      <c r="C953" s="243"/>
      <c r="D953" s="241"/>
      <c r="F953" s="242"/>
      <c r="G953" s="241"/>
      <c r="H953" s="241"/>
    </row>
    <row r="954" spans="1:8" ht="12.95" customHeight="1" x14ac:dyDescent="0.2">
      <c r="A954" s="242"/>
      <c r="B954" s="241"/>
      <c r="C954" s="243"/>
      <c r="D954" s="241"/>
      <c r="F954" s="242"/>
      <c r="G954" s="241"/>
      <c r="H954" s="241"/>
    </row>
    <row r="955" spans="1:8" ht="12.95" customHeight="1" x14ac:dyDescent="0.2">
      <c r="A955" s="242"/>
      <c r="B955" s="241"/>
      <c r="C955" s="243"/>
      <c r="D955" s="241"/>
      <c r="F955" s="242"/>
      <c r="G955" s="241"/>
      <c r="H955" s="241"/>
    </row>
    <row r="956" spans="1:8" ht="12.95" customHeight="1" x14ac:dyDescent="0.2">
      <c r="A956" s="242"/>
      <c r="B956" s="241"/>
      <c r="C956" s="243"/>
      <c r="D956" s="241"/>
      <c r="F956" s="242"/>
      <c r="G956" s="241"/>
      <c r="H956" s="241"/>
    </row>
    <row r="957" spans="1:8" ht="12.95" customHeight="1" x14ac:dyDescent="0.2">
      <c r="A957" s="242"/>
      <c r="B957" s="241"/>
      <c r="C957" s="243"/>
      <c r="D957" s="241"/>
      <c r="F957" s="242"/>
      <c r="G957" s="241"/>
      <c r="H957" s="241"/>
    </row>
    <row r="958" spans="1:8" ht="12.95" customHeight="1" x14ac:dyDescent="0.2">
      <c r="A958" s="242"/>
      <c r="B958" s="241"/>
      <c r="C958" s="243"/>
      <c r="D958" s="241"/>
      <c r="F958" s="242"/>
      <c r="G958" s="241"/>
      <c r="H958" s="241"/>
    </row>
    <row r="959" spans="1:8" ht="12.95" customHeight="1" x14ac:dyDescent="0.2">
      <c r="A959" s="242"/>
      <c r="B959" s="241"/>
      <c r="C959" s="243"/>
      <c r="D959" s="241"/>
      <c r="F959" s="242"/>
      <c r="G959" s="241"/>
      <c r="H959" s="241"/>
    </row>
    <row r="960" spans="1:8" ht="12.95" customHeight="1" x14ac:dyDescent="0.2">
      <c r="A960" s="242"/>
      <c r="B960" s="241"/>
      <c r="C960" s="243"/>
      <c r="D960" s="241"/>
      <c r="F960" s="242"/>
      <c r="G960" s="241"/>
      <c r="H960" s="241"/>
    </row>
    <row r="961" spans="1:8" ht="12.95" customHeight="1" x14ac:dyDescent="0.2">
      <c r="A961" s="242"/>
      <c r="B961" s="241"/>
      <c r="C961" s="243"/>
      <c r="D961" s="241"/>
      <c r="F961" s="242"/>
      <c r="G961" s="241"/>
      <c r="H961" s="241"/>
    </row>
    <row r="962" spans="1:8" ht="12.95" customHeight="1" x14ac:dyDescent="0.2">
      <c r="A962" s="242"/>
      <c r="B962" s="241"/>
      <c r="C962" s="243"/>
      <c r="D962" s="241"/>
      <c r="F962" s="242"/>
      <c r="G962" s="241"/>
      <c r="H962" s="241"/>
    </row>
    <row r="963" spans="1:8" ht="12.95" customHeight="1" x14ac:dyDescent="0.2">
      <c r="A963" s="242"/>
      <c r="B963" s="241"/>
      <c r="C963" s="243"/>
      <c r="D963" s="241"/>
      <c r="F963" s="242"/>
      <c r="G963" s="241"/>
      <c r="H963" s="241"/>
    </row>
    <row r="964" spans="1:8" ht="12.95" customHeight="1" x14ac:dyDescent="0.2">
      <c r="A964" s="242"/>
      <c r="B964" s="241"/>
      <c r="C964" s="243"/>
      <c r="D964" s="241"/>
      <c r="F964" s="242"/>
      <c r="G964" s="241"/>
      <c r="H964" s="241"/>
    </row>
    <row r="965" spans="1:8" ht="12.95" customHeight="1" x14ac:dyDescent="0.2">
      <c r="A965" s="242"/>
      <c r="B965" s="241"/>
      <c r="C965" s="243"/>
      <c r="D965" s="241"/>
      <c r="F965" s="242"/>
      <c r="G965" s="241"/>
      <c r="H965" s="241"/>
    </row>
    <row r="966" spans="1:8" ht="12.95" customHeight="1" x14ac:dyDescent="0.2">
      <c r="A966" s="242"/>
      <c r="B966" s="241"/>
      <c r="C966" s="243"/>
      <c r="D966" s="241"/>
      <c r="F966" s="242"/>
      <c r="G966" s="241"/>
      <c r="H966" s="241"/>
    </row>
    <row r="967" spans="1:8" ht="12.95" customHeight="1" x14ac:dyDescent="0.2">
      <c r="A967" s="242"/>
      <c r="B967" s="241"/>
      <c r="C967" s="243"/>
      <c r="D967" s="241"/>
      <c r="F967" s="242"/>
      <c r="G967" s="241"/>
      <c r="H967" s="241"/>
    </row>
    <row r="968" spans="1:8" ht="12.95" customHeight="1" x14ac:dyDescent="0.2">
      <c r="A968" s="242"/>
      <c r="B968" s="241"/>
      <c r="C968" s="243"/>
      <c r="D968" s="241"/>
      <c r="F968" s="242"/>
      <c r="G968" s="241"/>
      <c r="H968" s="241"/>
    </row>
    <row r="969" spans="1:8" ht="12.95" customHeight="1" x14ac:dyDescent="0.2">
      <c r="A969" s="242"/>
      <c r="B969" s="241"/>
      <c r="C969" s="243"/>
      <c r="F969" s="242"/>
      <c r="G969" s="241"/>
      <c r="H969" s="241"/>
    </row>
    <row r="970" spans="1:8" ht="12.95" customHeight="1" x14ac:dyDescent="0.2">
      <c r="B970" s="241"/>
      <c r="C970" s="243"/>
      <c r="F970" s="242"/>
      <c r="G970" s="241"/>
      <c r="H970" s="241"/>
    </row>
    <row r="971" spans="1:8" ht="12.95" customHeight="1" x14ac:dyDescent="0.2">
      <c r="B971" s="241"/>
      <c r="C971" s="243"/>
      <c r="F971" s="242"/>
      <c r="G971" s="241"/>
      <c r="H971" s="241"/>
    </row>
    <row r="972" spans="1:8" ht="12.95" customHeight="1" x14ac:dyDescent="0.2">
      <c r="B972" s="241"/>
      <c r="C972" s="243"/>
      <c r="F972" s="242"/>
      <c r="G972" s="241"/>
      <c r="H972" s="241"/>
    </row>
    <row r="973" spans="1:8" ht="12.95" customHeight="1" x14ac:dyDescent="0.2">
      <c r="B973" s="241"/>
      <c r="C973" s="243"/>
      <c r="F973" s="242"/>
      <c r="G973" s="241"/>
      <c r="H973" s="241"/>
    </row>
    <row r="974" spans="1:8" ht="12.95" customHeight="1" x14ac:dyDescent="0.2">
      <c r="B974" s="241"/>
      <c r="C974" s="243"/>
      <c r="F974" s="242"/>
      <c r="G974" s="241"/>
      <c r="H974" s="241"/>
    </row>
    <row r="975" spans="1:8" ht="12.95" customHeight="1" x14ac:dyDescent="0.2">
      <c r="B975" s="241"/>
      <c r="C975" s="243"/>
      <c r="F975" s="242"/>
      <c r="G975" s="241"/>
      <c r="H975" s="241"/>
    </row>
    <row r="976" spans="1:8" ht="12.95" customHeight="1" x14ac:dyDescent="0.25">
      <c r="F976" s="242"/>
      <c r="G976" s="241"/>
      <c r="H976" s="241"/>
    </row>
    <row r="977" spans="6:8" ht="12.95" customHeight="1" x14ac:dyDescent="0.25">
      <c r="F977" s="242"/>
      <c r="G977" s="241"/>
      <c r="H977" s="241"/>
    </row>
    <row r="978" spans="6:8" ht="12.95" customHeight="1" x14ac:dyDescent="0.25">
      <c r="F978" s="242"/>
      <c r="H978" s="241"/>
    </row>
  </sheetData>
  <sortState ref="A2:I669">
    <sortCondition ref="A2:A669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K62"/>
  <sheetViews>
    <sheetView view="pageBreakPreview" zoomScale="75" zoomScaleNormal="100" zoomScaleSheetLayoutView="75" workbookViewId="0">
      <selection activeCell="A17" sqref="A17"/>
    </sheetView>
  </sheetViews>
  <sheetFormatPr defaultRowHeight="12.75" outlineLevelCol="1" x14ac:dyDescent="0.2"/>
  <cols>
    <col min="1" max="2" width="10.7109375" customWidth="1"/>
    <col min="3" max="3" width="10.42578125" customWidth="1"/>
    <col min="4" max="4" width="13.42578125" customWidth="1"/>
    <col min="5" max="7" width="23.7109375" style="487" customWidth="1"/>
    <col min="8" max="11" width="12.85546875" customWidth="1"/>
    <col min="12" max="12" width="12.85546875" style="46" customWidth="1"/>
    <col min="13" max="13" width="4.28515625" style="53" customWidth="1"/>
    <col min="14" max="14" width="3" style="53" customWidth="1"/>
    <col min="15" max="15" width="1.5703125" style="66" customWidth="1"/>
    <col min="21" max="21" width="7" bestFit="1" customWidth="1"/>
    <col min="22" max="24" width="6.140625" style="163" customWidth="1"/>
    <col min="26" max="26" width="9.140625" style="456"/>
    <col min="27" max="36" width="8.7109375" hidden="1" customWidth="1" outlineLevel="1"/>
    <col min="37" max="37" width="9.140625" collapsed="1"/>
  </cols>
  <sheetData>
    <row r="1" spans="1:36" x14ac:dyDescent="0.2">
      <c r="A1" s="733" t="s">
        <v>27</v>
      </c>
      <c r="B1" s="734"/>
      <c r="C1" s="734"/>
      <c r="D1" s="734"/>
      <c r="E1" s="735"/>
      <c r="J1" s="5" t="s">
        <v>80</v>
      </c>
      <c r="K1" s="4" t="str">
        <f>Office!K1</f>
        <v>Gordy Decker</v>
      </c>
      <c r="L1" s="45"/>
      <c r="M1" s="54"/>
      <c r="N1" s="54"/>
    </row>
    <row r="2" spans="1:36" x14ac:dyDescent="0.2">
      <c r="A2" s="736" t="s">
        <v>95</v>
      </c>
      <c r="B2" s="737"/>
      <c r="C2" s="737"/>
      <c r="D2" s="737"/>
      <c r="E2" s="738"/>
      <c r="J2" s="5" t="s">
        <v>109</v>
      </c>
      <c r="K2" s="8">
        <f>Office!K2</f>
        <v>0</v>
      </c>
    </row>
    <row r="3" spans="1:36" x14ac:dyDescent="0.2">
      <c r="A3" s="370" t="s">
        <v>1610</v>
      </c>
      <c r="B3" s="376"/>
      <c r="C3" s="377"/>
      <c r="D3" s="370" t="s">
        <v>1608</v>
      </c>
      <c r="E3" s="488"/>
    </row>
    <row r="4" spans="1:36" x14ac:dyDescent="0.2">
      <c r="A4" s="367" t="s">
        <v>1611</v>
      </c>
      <c r="B4" s="379"/>
      <c r="C4" s="380"/>
      <c r="D4" s="367" t="s">
        <v>1609</v>
      </c>
      <c r="E4" s="489"/>
      <c r="G4" s="490" t="s">
        <v>1650</v>
      </c>
      <c r="I4" s="448"/>
      <c r="J4" s="448"/>
      <c r="K4" s="448"/>
      <c r="L4" s="448"/>
    </row>
    <row r="5" spans="1:36" x14ac:dyDescent="0.2">
      <c r="A5" s="372"/>
      <c r="B5" s="382"/>
      <c r="C5" s="383"/>
      <c r="D5" s="372"/>
      <c r="E5" s="479"/>
      <c r="G5" s="491" t="s">
        <v>1649</v>
      </c>
      <c r="I5" s="448"/>
      <c r="J5" s="448"/>
      <c r="K5" s="448"/>
      <c r="L5" s="448"/>
    </row>
    <row r="6" spans="1:36" x14ac:dyDescent="0.2">
      <c r="G6" s="487" t="s">
        <v>1657</v>
      </c>
    </row>
    <row r="7" spans="1:36" x14ac:dyDescent="0.2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730"/>
      <c r="K7" s="731"/>
      <c r="L7" s="732"/>
    </row>
    <row r="8" spans="1:36" x14ac:dyDescent="0.2">
      <c r="A8" s="633"/>
      <c r="B8" s="634"/>
      <c r="C8" s="634"/>
      <c r="D8" s="634"/>
      <c r="E8" s="635"/>
      <c r="G8" s="661" t="s">
        <v>115</v>
      </c>
      <c r="H8" s="662"/>
      <c r="I8" s="663"/>
      <c r="J8" s="655"/>
      <c r="K8" s="656"/>
      <c r="L8" s="657"/>
    </row>
    <row r="9" spans="1:36" x14ac:dyDescent="0.2">
      <c r="A9" s="633"/>
      <c r="B9" s="634"/>
      <c r="C9" s="634"/>
      <c r="D9" s="634"/>
      <c r="E9" s="635"/>
      <c r="G9" s="661" t="s">
        <v>116</v>
      </c>
      <c r="H9" s="662"/>
      <c r="I9" s="663"/>
      <c r="J9" s="655"/>
      <c r="K9" s="656"/>
      <c r="L9" s="657"/>
    </row>
    <row r="10" spans="1:36" x14ac:dyDescent="0.2">
      <c r="A10" s="633"/>
      <c r="B10" s="634"/>
      <c r="C10" s="634"/>
      <c r="D10" s="634"/>
      <c r="E10" s="635"/>
      <c r="G10" s="646"/>
      <c r="H10" s="647"/>
      <c r="I10" s="648"/>
      <c r="J10" s="646"/>
      <c r="K10" s="647"/>
      <c r="L10" s="648"/>
    </row>
    <row r="11" spans="1:36" x14ac:dyDescent="0.2">
      <c r="A11" s="633"/>
      <c r="B11" s="634"/>
      <c r="C11" s="634"/>
      <c r="D11" s="634"/>
      <c r="E11" s="635"/>
      <c r="G11" s="646"/>
      <c r="H11" s="647"/>
      <c r="I11" s="648"/>
      <c r="J11" s="646"/>
      <c r="K11" s="647"/>
      <c r="L11" s="648"/>
    </row>
    <row r="12" spans="1:36" x14ac:dyDescent="0.2">
      <c r="A12" s="636"/>
      <c r="B12" s="637"/>
      <c r="C12" s="637"/>
      <c r="D12" s="637"/>
      <c r="E12" s="638"/>
      <c r="G12" s="649"/>
      <c r="H12" s="650"/>
      <c r="I12" s="651"/>
      <c r="J12" s="649"/>
      <c r="K12" s="650"/>
      <c r="L12" s="651"/>
    </row>
    <row r="13" spans="1:36" s="363" customFormat="1" x14ac:dyDescent="0.2">
      <c r="A13" s="361"/>
      <c r="B13" s="361"/>
      <c r="C13" s="361"/>
      <c r="D13" s="361"/>
      <c r="E13" s="492"/>
      <c r="F13" s="493"/>
      <c r="G13" s="362"/>
      <c r="H13" s="362"/>
      <c r="I13" s="362"/>
      <c r="J13" s="362"/>
      <c r="K13" s="362"/>
      <c r="L13" s="362"/>
      <c r="M13" s="364"/>
      <c r="N13" s="364"/>
      <c r="O13" s="365"/>
      <c r="V13" s="366"/>
      <c r="W13" s="366"/>
      <c r="X13" s="366"/>
      <c r="Z13" s="457"/>
    </row>
    <row r="14" spans="1:36" ht="12.75" customHeight="1" x14ac:dyDescent="0.2">
      <c r="A14" s="35" t="s">
        <v>28</v>
      </c>
      <c r="B14" s="671" t="s">
        <v>89</v>
      </c>
      <c r="C14" s="671"/>
      <c r="D14" s="671"/>
      <c r="H14" s="671" t="s">
        <v>30</v>
      </c>
      <c r="I14" s="671"/>
      <c r="J14" s="671"/>
      <c r="K14" s="671"/>
      <c r="P14" s="667" t="s">
        <v>186</v>
      </c>
      <c r="Q14" s="667"/>
      <c r="R14" s="667"/>
      <c r="S14" s="667"/>
      <c r="T14" s="667"/>
      <c r="U14" s="665" t="s">
        <v>288</v>
      </c>
      <c r="V14" s="665" t="s">
        <v>292</v>
      </c>
      <c r="W14" s="665" t="s">
        <v>507</v>
      </c>
      <c r="X14" s="665" t="s">
        <v>292</v>
      </c>
      <c r="Y14" s="665" t="s">
        <v>664</v>
      </c>
    </row>
    <row r="15" spans="1:36" s="16" customFormat="1" ht="15" x14ac:dyDescent="0.2">
      <c r="A15" s="98" t="s">
        <v>104</v>
      </c>
      <c r="B15" s="669" t="s">
        <v>816</v>
      </c>
      <c r="C15" s="669"/>
      <c r="D15" s="669"/>
      <c r="E15" s="669" t="s">
        <v>29</v>
      </c>
      <c r="F15" s="669"/>
      <c r="G15" s="669"/>
      <c r="H15" s="670" t="s">
        <v>94</v>
      </c>
      <c r="I15" s="670"/>
      <c r="J15" s="670"/>
      <c r="K15" s="670"/>
      <c r="L15" s="57" t="s">
        <v>31</v>
      </c>
      <c r="M15" s="478">
        <f ca="1">COUNTIF(M17:M57,"disallow")</f>
        <v>0</v>
      </c>
      <c r="N15" s="67"/>
      <c r="O15" s="66"/>
      <c r="P15" s="167" t="s">
        <v>286</v>
      </c>
      <c r="Q15" s="672" t="s">
        <v>287</v>
      </c>
      <c r="R15" s="672"/>
      <c r="S15" s="672"/>
      <c r="T15" s="672"/>
      <c r="U15" s="666"/>
      <c r="V15" s="666"/>
      <c r="W15" s="666"/>
      <c r="X15" s="666"/>
      <c r="Y15" s="666"/>
      <c r="AA15" s="464"/>
      <c r="AB15" s="465" t="s">
        <v>1658</v>
      </c>
      <c r="AC15" s="465" t="s">
        <v>1659</v>
      </c>
      <c r="AD15" s="470" t="s">
        <v>1660</v>
      </c>
      <c r="AE15" s="690" t="s">
        <v>1656</v>
      </c>
      <c r="AF15" s="691"/>
      <c r="AG15" s="471"/>
      <c r="AH15" s="473" t="s">
        <v>1662</v>
      </c>
      <c r="AI15" s="474" t="s">
        <v>1665</v>
      </c>
      <c r="AJ15" s="458"/>
    </row>
    <row r="16" spans="1:36" ht="12.75" hidden="1" customHeight="1" x14ac:dyDescent="0.2">
      <c r="A16" s="58"/>
      <c r="B16" s="668"/>
      <c r="C16" s="668"/>
      <c r="D16" s="668"/>
      <c r="E16" s="739"/>
      <c r="F16" s="739"/>
      <c r="G16" s="739"/>
      <c r="H16" s="668"/>
      <c r="I16" s="668"/>
      <c r="J16" s="668"/>
      <c r="K16" s="668"/>
      <c r="L16" s="61"/>
      <c r="M16" s="54" t="str">
        <f>IF(L16&gt;=75,"*"," ")</f>
        <v xml:space="preserve"> </v>
      </c>
      <c r="N16" s="54"/>
      <c r="O16" s="66" t="str">
        <f>IF(L16&gt;=75,L16," ")</f>
        <v xml:space="preserve"> 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AA16" s="460"/>
      <c r="AB16" s="14"/>
      <c r="AC16" s="14"/>
      <c r="AD16" s="459"/>
      <c r="AE16" s="102"/>
      <c r="AF16" s="14"/>
      <c r="AG16" s="459"/>
      <c r="AH16" s="102"/>
      <c r="AI16" s="14"/>
      <c r="AJ16" s="459"/>
    </row>
    <row r="17" spans="1:36" x14ac:dyDescent="0.2">
      <c r="A17" s="494"/>
      <c r="B17" s="686"/>
      <c r="C17" s="687"/>
      <c r="D17" s="687"/>
      <c r="E17" s="686"/>
      <c r="F17" s="687"/>
      <c r="G17" s="687"/>
      <c r="H17" s="686"/>
      <c r="I17" s="687"/>
      <c r="J17" s="687"/>
      <c r="K17" s="687"/>
      <c r="L17" s="495"/>
      <c r="M17" s="164" t="str">
        <f t="shared" ref="M17:M57" ca="1" si="0">IF(AA17=1,"***",IF(A17&gt;0,IF(submit_date&gt;0,IF(submit_date-A17&gt;60,"disallow",IF(L17&gt;=75,IF(AND(N17="",TODAY()-submit_date&gt;30),"disallow","*"),"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"))),IF(L17&gt;=75,IF(AND(N17="",TODAY()-submit_date&gt;30),"disallow","*"),"")))</f>
        <v/>
      </c>
      <c r="N17" s="161"/>
      <c r="O17" s="163" t="str">
        <f ca="1">IF(AND(L17&gt;=75,M17&lt;&gt;"disallow"),1," ")</f>
        <v xml:space="preserve"> </v>
      </c>
      <c r="P17" s="168"/>
      <c r="Q17" s="629"/>
      <c r="R17" s="629"/>
      <c r="S17" s="629"/>
      <c r="T17" s="629"/>
      <c r="U17" s="178"/>
      <c r="V17" s="178">
        <f ca="1">IF(AND(M17="disallow",W17=0),L17,0)</f>
        <v>0</v>
      </c>
      <c r="W17" s="178"/>
      <c r="X17" s="178">
        <f>IF(W17&gt;0,-U17,0)</f>
        <v>0</v>
      </c>
      <c r="Y17" s="166">
        <f t="shared" ref="Y17:Y57" si="1">IF(AND(A17&lt;Fiscal_Start_Date,submit_date-A17&lt;90,submit_date&gt;=0),L17,0)</f>
        <v>0</v>
      </c>
      <c r="AA17" s="460">
        <f>COUNTIF(AB17:AD17,"true")</f>
        <v>0</v>
      </c>
      <c r="AB17" s="257" t="b">
        <f t="shared" ref="AB17:AD36" si="2">SUMPRODUCT(--ISNUMBER(SEARCH(AB$15,$B17:$K17)))&gt;0</f>
        <v>0</v>
      </c>
      <c r="AC17" s="257" t="b">
        <f t="shared" si="2"/>
        <v>0</v>
      </c>
      <c r="AD17" s="467" t="b">
        <f t="shared" si="2"/>
        <v>0</v>
      </c>
      <c r="AE17" s="460" t="b">
        <f>SUMPRODUCT(--ISNUMBER(SEARCH(AE$15,$B17)))&gt;0</f>
        <v>0</v>
      </c>
      <c r="AF17" s="257" t="b">
        <f>SUMPRODUCT(--ISNUMBER(SEARCH(AE$15,$E17:$K17)))&gt;0</f>
        <v>0</v>
      </c>
      <c r="AG17" s="459">
        <f>COUNTIF(AE17:AF17,"true")</f>
        <v>0</v>
      </c>
      <c r="AH17" s="464" t="b">
        <f>SUMPRODUCT(--ISNUMBER(SEARCH(AH$15,$B17)))&gt;0</f>
        <v>0</v>
      </c>
      <c r="AI17" s="465" t="b">
        <f>SUMPRODUCT(--ISNUMBER(SEARCH(AI$15,$E17:$K17)))&gt;0</f>
        <v>0</v>
      </c>
      <c r="AJ17" s="458">
        <f>COUNTIF(AH17:AI17,"True")</f>
        <v>0</v>
      </c>
    </row>
    <row r="18" spans="1:36" x14ac:dyDescent="0.2">
      <c r="A18" s="494"/>
      <c r="B18" s="686"/>
      <c r="C18" s="687"/>
      <c r="D18" s="687"/>
      <c r="E18" s="686"/>
      <c r="F18" s="687"/>
      <c r="G18" s="687"/>
      <c r="H18" s="686"/>
      <c r="I18" s="687"/>
      <c r="J18" s="687"/>
      <c r="K18" s="687"/>
      <c r="L18" s="495"/>
      <c r="M18" s="164" t="str">
        <f t="shared" ca="1" si="0"/>
        <v/>
      </c>
      <c r="N18" s="161"/>
      <c r="O18" s="163" t="str">
        <f t="shared" ref="O18:O57" ca="1" si="3">IF(AND(L18&gt;=75,M18&lt;&gt;"disallow"),1," ")</f>
        <v xml:space="preserve"> </v>
      </c>
      <c r="P18" s="168"/>
      <c r="Q18" s="629"/>
      <c r="R18" s="629"/>
      <c r="S18" s="629"/>
      <c r="T18" s="629"/>
      <c r="U18" s="178"/>
      <c r="V18" s="178">
        <f t="shared" ref="V18:V57" ca="1" si="4">IF(AND(M18="disallow",W18=0),L18,0)</f>
        <v>0</v>
      </c>
      <c r="W18" s="178"/>
      <c r="X18" s="178">
        <f t="shared" ref="X18:X57" si="5">IF(W18&gt;0,-U18,0)</f>
        <v>0</v>
      </c>
      <c r="Y18" s="166">
        <f t="shared" si="1"/>
        <v>0</v>
      </c>
      <c r="AA18" s="460">
        <f t="shared" ref="AA18:AA57" si="6">COUNTIF(AB18:AD18,"true")</f>
        <v>0</v>
      </c>
      <c r="AB18" s="257" t="b">
        <f t="shared" si="2"/>
        <v>0</v>
      </c>
      <c r="AC18" s="257" t="b">
        <f t="shared" si="2"/>
        <v>0</v>
      </c>
      <c r="AD18" s="467" t="b">
        <f t="shared" si="2"/>
        <v>0</v>
      </c>
      <c r="AE18" s="460" t="b">
        <f t="shared" ref="AE18:AE57" si="7">SUMPRODUCT(--ISNUMBER(SEARCH(AE$15,$B18)))&gt;0</f>
        <v>0</v>
      </c>
      <c r="AF18" s="257" t="b">
        <f t="shared" ref="AF18:AF56" si="8">SUMPRODUCT(--ISNUMBER(SEARCH(AE$15,$E18:$K18)))&gt;0</f>
        <v>0</v>
      </c>
      <c r="AG18" s="459">
        <f t="shared" ref="AG18:AG57" si="9">COUNTIF(AE18:AF18,"true")</f>
        <v>0</v>
      </c>
      <c r="AH18" s="460" t="b">
        <f t="shared" ref="AH18:AH57" si="10">SUMPRODUCT(--ISNUMBER(SEARCH(AH$15,$B18)))&gt;0</f>
        <v>0</v>
      </c>
      <c r="AI18" s="257" t="b">
        <f t="shared" ref="AI18:AI57" si="11">SUMPRODUCT(--ISNUMBER(SEARCH(AI$15,$E18:$K18)))&gt;0</f>
        <v>0</v>
      </c>
      <c r="AJ18" s="459">
        <f t="shared" ref="AJ18:AJ57" si="12">COUNTIF(AH18:AI18,"True")</f>
        <v>0</v>
      </c>
    </row>
    <row r="19" spans="1:36" x14ac:dyDescent="0.2">
      <c r="A19" s="494"/>
      <c r="B19" s="686"/>
      <c r="C19" s="687"/>
      <c r="D19" s="687"/>
      <c r="E19" s="686"/>
      <c r="F19" s="687"/>
      <c r="G19" s="687"/>
      <c r="H19" s="686"/>
      <c r="I19" s="687"/>
      <c r="J19" s="687"/>
      <c r="K19" s="687"/>
      <c r="L19" s="495"/>
      <c r="M19" s="164" t="str">
        <f t="shared" ca="1" si="0"/>
        <v/>
      </c>
      <c r="N19" s="161"/>
      <c r="O19" s="163" t="str">
        <f t="shared" ca="1" si="3"/>
        <v xml:space="preserve"> </v>
      </c>
      <c r="P19" s="168"/>
      <c r="Q19" s="629"/>
      <c r="R19" s="629"/>
      <c r="S19" s="629"/>
      <c r="T19" s="629"/>
      <c r="U19" s="178"/>
      <c r="V19" s="178">
        <f t="shared" ca="1" si="4"/>
        <v>0</v>
      </c>
      <c r="W19" s="178"/>
      <c r="X19" s="178">
        <f t="shared" si="5"/>
        <v>0</v>
      </c>
      <c r="Y19" s="166">
        <f t="shared" si="1"/>
        <v>0</v>
      </c>
      <c r="AA19" s="460">
        <f t="shared" si="6"/>
        <v>0</v>
      </c>
      <c r="AB19" s="257" t="b">
        <f t="shared" si="2"/>
        <v>0</v>
      </c>
      <c r="AC19" s="257" t="b">
        <f t="shared" si="2"/>
        <v>0</v>
      </c>
      <c r="AD19" s="467" t="b">
        <f t="shared" si="2"/>
        <v>0</v>
      </c>
      <c r="AE19" s="460" t="b">
        <f t="shared" si="7"/>
        <v>0</v>
      </c>
      <c r="AF19" s="257" t="b">
        <f t="shared" si="8"/>
        <v>0</v>
      </c>
      <c r="AG19" s="459">
        <f t="shared" si="9"/>
        <v>0</v>
      </c>
      <c r="AH19" s="460" t="b">
        <f t="shared" si="10"/>
        <v>0</v>
      </c>
      <c r="AI19" s="257" t="b">
        <f t="shared" si="11"/>
        <v>0</v>
      </c>
      <c r="AJ19" s="459">
        <f t="shared" si="12"/>
        <v>0</v>
      </c>
    </row>
    <row r="20" spans="1:36" x14ac:dyDescent="0.2">
      <c r="A20" s="494"/>
      <c r="B20" s="686"/>
      <c r="C20" s="687"/>
      <c r="D20" s="687"/>
      <c r="E20" s="686"/>
      <c r="F20" s="687"/>
      <c r="G20" s="687"/>
      <c r="H20" s="686"/>
      <c r="I20" s="687"/>
      <c r="J20" s="687"/>
      <c r="K20" s="687"/>
      <c r="L20" s="495"/>
      <c r="M20" s="164" t="str">
        <f t="shared" ca="1" si="0"/>
        <v/>
      </c>
      <c r="N20" s="161"/>
      <c r="O20" s="163" t="str">
        <f t="shared" ca="1" si="3"/>
        <v xml:space="preserve"> </v>
      </c>
      <c r="P20" s="168"/>
      <c r="Q20" s="629"/>
      <c r="R20" s="629"/>
      <c r="S20" s="629"/>
      <c r="T20" s="629"/>
      <c r="U20" s="178"/>
      <c r="V20" s="178">
        <f t="shared" ca="1" si="4"/>
        <v>0</v>
      </c>
      <c r="W20" s="178"/>
      <c r="X20" s="178">
        <f t="shared" si="5"/>
        <v>0</v>
      </c>
      <c r="Y20" s="166">
        <f t="shared" si="1"/>
        <v>0</v>
      </c>
      <c r="AA20" s="460">
        <f t="shared" si="6"/>
        <v>0</v>
      </c>
      <c r="AB20" s="257" t="b">
        <f t="shared" si="2"/>
        <v>0</v>
      </c>
      <c r="AC20" s="257" t="b">
        <f t="shared" si="2"/>
        <v>0</v>
      </c>
      <c r="AD20" s="467" t="b">
        <f t="shared" si="2"/>
        <v>0</v>
      </c>
      <c r="AE20" s="460" t="b">
        <f t="shared" si="7"/>
        <v>0</v>
      </c>
      <c r="AF20" s="257" t="b">
        <f t="shared" si="8"/>
        <v>0</v>
      </c>
      <c r="AG20" s="459">
        <f t="shared" si="9"/>
        <v>0</v>
      </c>
      <c r="AH20" s="460" t="b">
        <f t="shared" si="10"/>
        <v>0</v>
      </c>
      <c r="AI20" s="257" t="b">
        <f t="shared" si="11"/>
        <v>0</v>
      </c>
      <c r="AJ20" s="459">
        <f t="shared" si="12"/>
        <v>0</v>
      </c>
    </row>
    <row r="21" spans="1:36" x14ac:dyDescent="0.2">
      <c r="A21" s="494"/>
      <c r="B21" s="686"/>
      <c r="C21" s="687"/>
      <c r="D21" s="687"/>
      <c r="E21" s="686"/>
      <c r="F21" s="687"/>
      <c r="G21" s="687"/>
      <c r="H21" s="686"/>
      <c r="I21" s="687"/>
      <c r="J21" s="687"/>
      <c r="K21" s="687"/>
      <c r="L21" s="495"/>
      <c r="M21" s="164" t="str">
        <f t="shared" ca="1" si="0"/>
        <v/>
      </c>
      <c r="N21" s="161"/>
      <c r="O21" s="163" t="str">
        <f t="shared" ca="1" si="3"/>
        <v xml:space="preserve"> </v>
      </c>
      <c r="P21" s="168"/>
      <c r="Q21" s="629"/>
      <c r="R21" s="629"/>
      <c r="S21" s="629"/>
      <c r="T21" s="629"/>
      <c r="U21" s="178"/>
      <c r="V21" s="178">
        <f t="shared" ca="1" si="4"/>
        <v>0</v>
      </c>
      <c r="W21" s="178"/>
      <c r="X21" s="178">
        <f t="shared" si="5"/>
        <v>0</v>
      </c>
      <c r="Y21" s="166">
        <f t="shared" si="1"/>
        <v>0</v>
      </c>
      <c r="AA21" s="460">
        <f t="shared" si="6"/>
        <v>0</v>
      </c>
      <c r="AB21" s="257" t="b">
        <f t="shared" si="2"/>
        <v>0</v>
      </c>
      <c r="AC21" s="257" t="b">
        <f t="shared" si="2"/>
        <v>0</v>
      </c>
      <c r="AD21" s="467" t="b">
        <f t="shared" si="2"/>
        <v>0</v>
      </c>
      <c r="AE21" s="460" t="b">
        <f t="shared" si="7"/>
        <v>0</v>
      </c>
      <c r="AF21" s="257" t="b">
        <f t="shared" si="8"/>
        <v>0</v>
      </c>
      <c r="AG21" s="459">
        <f t="shared" si="9"/>
        <v>0</v>
      </c>
      <c r="AH21" s="460" t="b">
        <f t="shared" si="10"/>
        <v>0</v>
      </c>
      <c r="AI21" s="257" t="b">
        <f t="shared" si="11"/>
        <v>0</v>
      </c>
      <c r="AJ21" s="459">
        <f t="shared" si="12"/>
        <v>0</v>
      </c>
    </row>
    <row r="22" spans="1:36" x14ac:dyDescent="0.2">
      <c r="A22" s="494"/>
      <c r="B22" s="686"/>
      <c r="C22" s="687"/>
      <c r="D22" s="687"/>
      <c r="E22" s="686"/>
      <c r="F22" s="687"/>
      <c r="G22" s="687"/>
      <c r="H22" s="686"/>
      <c r="I22" s="687"/>
      <c r="J22" s="687"/>
      <c r="K22" s="687"/>
      <c r="L22" s="495"/>
      <c r="M22" s="164" t="str">
        <f t="shared" ca="1" si="0"/>
        <v/>
      </c>
      <c r="N22" s="161"/>
      <c r="O22" s="163" t="str">
        <f t="shared" ca="1" si="3"/>
        <v xml:space="preserve"> </v>
      </c>
      <c r="P22" s="168"/>
      <c r="Q22" s="629"/>
      <c r="R22" s="629"/>
      <c r="S22" s="629"/>
      <c r="T22" s="629"/>
      <c r="U22" s="178"/>
      <c r="V22" s="178">
        <f t="shared" ca="1" si="4"/>
        <v>0</v>
      </c>
      <c r="W22" s="178"/>
      <c r="X22" s="178">
        <f t="shared" si="5"/>
        <v>0</v>
      </c>
      <c r="Y22" s="166">
        <f t="shared" si="1"/>
        <v>0</v>
      </c>
      <c r="AA22" s="460">
        <f t="shared" si="6"/>
        <v>0</v>
      </c>
      <c r="AB22" s="257" t="b">
        <f t="shared" si="2"/>
        <v>0</v>
      </c>
      <c r="AC22" s="257" t="b">
        <f t="shared" si="2"/>
        <v>0</v>
      </c>
      <c r="AD22" s="467" t="b">
        <f t="shared" si="2"/>
        <v>0</v>
      </c>
      <c r="AE22" s="460" t="b">
        <f t="shared" si="7"/>
        <v>0</v>
      </c>
      <c r="AF22" s="257" t="b">
        <f t="shared" si="8"/>
        <v>0</v>
      </c>
      <c r="AG22" s="459">
        <f t="shared" si="9"/>
        <v>0</v>
      </c>
      <c r="AH22" s="460" t="b">
        <f t="shared" si="10"/>
        <v>0</v>
      </c>
      <c r="AI22" s="257" t="b">
        <f t="shared" si="11"/>
        <v>0</v>
      </c>
      <c r="AJ22" s="459">
        <f t="shared" si="12"/>
        <v>0</v>
      </c>
    </row>
    <row r="23" spans="1:36" x14ac:dyDescent="0.2">
      <c r="A23" s="494"/>
      <c r="B23" s="686"/>
      <c r="C23" s="687"/>
      <c r="D23" s="687"/>
      <c r="E23" s="686"/>
      <c r="F23" s="687"/>
      <c r="G23" s="687"/>
      <c r="H23" s="686"/>
      <c r="I23" s="687"/>
      <c r="J23" s="687"/>
      <c r="K23" s="687"/>
      <c r="L23" s="495"/>
      <c r="M23" s="164" t="str">
        <f t="shared" ca="1" si="0"/>
        <v/>
      </c>
      <c r="N23" s="161"/>
      <c r="O23" s="163" t="str">
        <f t="shared" ca="1" si="3"/>
        <v xml:space="preserve"> </v>
      </c>
      <c r="P23" s="168"/>
      <c r="Q23" s="629"/>
      <c r="R23" s="629"/>
      <c r="S23" s="629"/>
      <c r="T23" s="629"/>
      <c r="U23" s="178"/>
      <c r="V23" s="178">
        <f t="shared" ca="1" si="4"/>
        <v>0</v>
      </c>
      <c r="W23" s="178"/>
      <c r="X23" s="178">
        <f t="shared" si="5"/>
        <v>0</v>
      </c>
      <c r="Y23" s="166">
        <f t="shared" si="1"/>
        <v>0</v>
      </c>
      <c r="AA23" s="460">
        <f t="shared" si="6"/>
        <v>0</v>
      </c>
      <c r="AB23" s="257" t="b">
        <f t="shared" si="2"/>
        <v>0</v>
      </c>
      <c r="AC23" s="257" t="b">
        <f t="shared" si="2"/>
        <v>0</v>
      </c>
      <c r="AD23" s="467" t="b">
        <f t="shared" si="2"/>
        <v>0</v>
      </c>
      <c r="AE23" s="460" t="b">
        <f t="shared" si="7"/>
        <v>0</v>
      </c>
      <c r="AF23" s="257" t="b">
        <f t="shared" si="8"/>
        <v>0</v>
      </c>
      <c r="AG23" s="459">
        <f t="shared" si="9"/>
        <v>0</v>
      </c>
      <c r="AH23" s="460" t="b">
        <f t="shared" si="10"/>
        <v>0</v>
      </c>
      <c r="AI23" s="257" t="b">
        <f t="shared" si="11"/>
        <v>0</v>
      </c>
      <c r="AJ23" s="459">
        <f t="shared" si="12"/>
        <v>0</v>
      </c>
    </row>
    <row r="24" spans="1:36" x14ac:dyDescent="0.2">
      <c r="A24" s="494"/>
      <c r="B24" s="686"/>
      <c r="C24" s="687"/>
      <c r="D24" s="687"/>
      <c r="E24" s="686"/>
      <c r="F24" s="687"/>
      <c r="G24" s="687"/>
      <c r="H24" s="686"/>
      <c r="I24" s="687"/>
      <c r="J24" s="687"/>
      <c r="K24" s="687"/>
      <c r="L24" s="495"/>
      <c r="M24" s="164" t="str">
        <f t="shared" ca="1" si="0"/>
        <v/>
      </c>
      <c r="N24" s="161"/>
      <c r="O24" s="163" t="str">
        <f t="shared" ca="1" si="3"/>
        <v xml:space="preserve"> </v>
      </c>
      <c r="P24" s="169"/>
      <c r="Q24" s="629"/>
      <c r="R24" s="629"/>
      <c r="S24" s="629"/>
      <c r="T24" s="629"/>
      <c r="U24" s="178"/>
      <c r="V24" s="178">
        <f t="shared" ca="1" si="4"/>
        <v>0</v>
      </c>
      <c r="W24" s="178"/>
      <c r="X24" s="178">
        <f t="shared" si="5"/>
        <v>0</v>
      </c>
      <c r="Y24" s="166">
        <f t="shared" si="1"/>
        <v>0</v>
      </c>
      <c r="AA24" s="460">
        <f t="shared" si="6"/>
        <v>0</v>
      </c>
      <c r="AB24" s="257" t="b">
        <f t="shared" si="2"/>
        <v>0</v>
      </c>
      <c r="AC24" s="257" t="b">
        <f t="shared" si="2"/>
        <v>0</v>
      </c>
      <c r="AD24" s="467" t="b">
        <f t="shared" si="2"/>
        <v>0</v>
      </c>
      <c r="AE24" s="460" t="b">
        <f t="shared" si="7"/>
        <v>0</v>
      </c>
      <c r="AF24" s="257" t="b">
        <f t="shared" si="8"/>
        <v>0</v>
      </c>
      <c r="AG24" s="459">
        <f t="shared" si="9"/>
        <v>0</v>
      </c>
      <c r="AH24" s="460" t="b">
        <f t="shared" si="10"/>
        <v>0</v>
      </c>
      <c r="AI24" s="257" t="b">
        <f t="shared" si="11"/>
        <v>0</v>
      </c>
      <c r="AJ24" s="459">
        <f t="shared" si="12"/>
        <v>0</v>
      </c>
    </row>
    <row r="25" spans="1:36" x14ac:dyDescent="0.2">
      <c r="A25" s="494"/>
      <c r="B25" s="686"/>
      <c r="C25" s="687"/>
      <c r="D25" s="687"/>
      <c r="E25" s="686"/>
      <c r="F25" s="687"/>
      <c r="G25" s="687"/>
      <c r="H25" s="686"/>
      <c r="I25" s="687"/>
      <c r="J25" s="687"/>
      <c r="K25" s="687"/>
      <c r="L25" s="495"/>
      <c r="M25" s="164" t="str">
        <f t="shared" ca="1" si="0"/>
        <v/>
      </c>
      <c r="N25" s="161"/>
      <c r="O25" s="163" t="str">
        <f t="shared" ref="O25:O36" ca="1" si="13">IF(AND(L25&gt;=75,M25&lt;&gt;"disallow"),1," ")</f>
        <v xml:space="preserve"> </v>
      </c>
      <c r="P25" s="168"/>
      <c r="Q25" s="629"/>
      <c r="R25" s="629"/>
      <c r="S25" s="629"/>
      <c r="T25" s="629"/>
      <c r="U25" s="178"/>
      <c r="V25" s="178">
        <f t="shared" ref="V25:V36" ca="1" si="14">IF(AND(M25="disallow",W25=0),L25,0)</f>
        <v>0</v>
      </c>
      <c r="W25" s="178"/>
      <c r="X25" s="178">
        <f t="shared" ref="X25:X36" si="15">IF(W25&gt;0,-U25,0)</f>
        <v>0</v>
      </c>
      <c r="Y25" s="166">
        <f t="shared" ref="Y25:Y36" si="16">IF(AND(A25&lt;Fiscal_Start_Date,submit_date-A25&lt;90,submit_date&gt;=0),L25,0)</f>
        <v>0</v>
      </c>
      <c r="AA25" s="460">
        <f t="shared" si="6"/>
        <v>0</v>
      </c>
      <c r="AB25" s="257" t="b">
        <f t="shared" si="2"/>
        <v>0</v>
      </c>
      <c r="AC25" s="257" t="b">
        <f t="shared" si="2"/>
        <v>0</v>
      </c>
      <c r="AD25" s="467" t="b">
        <f t="shared" si="2"/>
        <v>0</v>
      </c>
      <c r="AE25" s="460" t="b">
        <f t="shared" si="7"/>
        <v>0</v>
      </c>
      <c r="AF25" s="257" t="b">
        <f t="shared" si="8"/>
        <v>0</v>
      </c>
      <c r="AG25" s="459">
        <f t="shared" si="9"/>
        <v>0</v>
      </c>
      <c r="AH25" s="460" t="b">
        <f t="shared" si="10"/>
        <v>0</v>
      </c>
      <c r="AI25" s="257" t="b">
        <f t="shared" si="11"/>
        <v>0</v>
      </c>
      <c r="AJ25" s="459">
        <f t="shared" si="12"/>
        <v>0</v>
      </c>
    </row>
    <row r="26" spans="1:36" x14ac:dyDescent="0.2">
      <c r="A26" s="494"/>
      <c r="B26" s="686"/>
      <c r="C26" s="687"/>
      <c r="D26" s="687"/>
      <c r="E26" s="686"/>
      <c r="F26" s="687"/>
      <c r="G26" s="687"/>
      <c r="H26" s="686"/>
      <c r="I26" s="687"/>
      <c r="J26" s="687"/>
      <c r="K26" s="687"/>
      <c r="L26" s="495"/>
      <c r="M26" s="164" t="str">
        <f t="shared" ca="1" si="0"/>
        <v/>
      </c>
      <c r="N26" s="161"/>
      <c r="O26" s="163" t="str">
        <f t="shared" ca="1" si="13"/>
        <v xml:space="preserve"> </v>
      </c>
      <c r="P26" s="168"/>
      <c r="Q26" s="629"/>
      <c r="R26" s="629"/>
      <c r="S26" s="629"/>
      <c r="T26" s="629"/>
      <c r="U26" s="178"/>
      <c r="V26" s="178">
        <f t="shared" ca="1" si="14"/>
        <v>0</v>
      </c>
      <c r="W26" s="178"/>
      <c r="X26" s="178">
        <f t="shared" si="15"/>
        <v>0</v>
      </c>
      <c r="Y26" s="166">
        <f t="shared" si="16"/>
        <v>0</v>
      </c>
      <c r="AA26" s="460">
        <f t="shared" si="6"/>
        <v>0</v>
      </c>
      <c r="AB26" s="257" t="b">
        <f t="shared" si="2"/>
        <v>0</v>
      </c>
      <c r="AC26" s="257" t="b">
        <f t="shared" si="2"/>
        <v>0</v>
      </c>
      <c r="AD26" s="467" t="b">
        <f t="shared" si="2"/>
        <v>0</v>
      </c>
      <c r="AE26" s="460" t="b">
        <f t="shared" si="7"/>
        <v>0</v>
      </c>
      <c r="AF26" s="257" t="b">
        <f t="shared" si="8"/>
        <v>0</v>
      </c>
      <c r="AG26" s="459">
        <f t="shared" si="9"/>
        <v>0</v>
      </c>
      <c r="AH26" s="460" t="b">
        <f t="shared" si="10"/>
        <v>0</v>
      </c>
      <c r="AI26" s="257" t="b">
        <f t="shared" si="11"/>
        <v>0</v>
      </c>
      <c r="AJ26" s="459">
        <f t="shared" si="12"/>
        <v>0</v>
      </c>
    </row>
    <row r="27" spans="1:36" x14ac:dyDescent="0.2">
      <c r="A27" s="494"/>
      <c r="B27" s="686"/>
      <c r="C27" s="687"/>
      <c r="D27" s="687"/>
      <c r="E27" s="686"/>
      <c r="F27" s="687"/>
      <c r="G27" s="687"/>
      <c r="H27" s="686"/>
      <c r="I27" s="687"/>
      <c r="J27" s="687"/>
      <c r="K27" s="687"/>
      <c r="L27" s="495"/>
      <c r="M27" s="164" t="str">
        <f t="shared" ca="1" si="0"/>
        <v/>
      </c>
      <c r="N27" s="161"/>
      <c r="O27" s="163" t="str">
        <f t="shared" ca="1" si="13"/>
        <v xml:space="preserve"> </v>
      </c>
      <c r="P27" s="168"/>
      <c r="Q27" s="629"/>
      <c r="R27" s="629"/>
      <c r="S27" s="629"/>
      <c r="T27" s="629"/>
      <c r="U27" s="178"/>
      <c r="V27" s="178">
        <f t="shared" ca="1" si="14"/>
        <v>0</v>
      </c>
      <c r="W27" s="178"/>
      <c r="X27" s="178">
        <f t="shared" si="15"/>
        <v>0</v>
      </c>
      <c r="Y27" s="166">
        <f t="shared" si="16"/>
        <v>0</v>
      </c>
      <c r="AA27" s="460">
        <f t="shared" si="6"/>
        <v>0</v>
      </c>
      <c r="AB27" s="257" t="b">
        <f t="shared" si="2"/>
        <v>0</v>
      </c>
      <c r="AC27" s="257" t="b">
        <f t="shared" si="2"/>
        <v>0</v>
      </c>
      <c r="AD27" s="467" t="b">
        <f t="shared" si="2"/>
        <v>0</v>
      </c>
      <c r="AE27" s="460" t="b">
        <f t="shared" si="7"/>
        <v>0</v>
      </c>
      <c r="AF27" s="257" t="b">
        <f t="shared" si="8"/>
        <v>0</v>
      </c>
      <c r="AG27" s="459">
        <f t="shared" si="9"/>
        <v>0</v>
      </c>
      <c r="AH27" s="460" t="b">
        <f t="shared" si="10"/>
        <v>0</v>
      </c>
      <c r="AI27" s="257" t="b">
        <f t="shared" si="11"/>
        <v>0</v>
      </c>
      <c r="AJ27" s="459">
        <f t="shared" si="12"/>
        <v>0</v>
      </c>
    </row>
    <row r="28" spans="1:36" x14ac:dyDescent="0.2">
      <c r="A28" s="494"/>
      <c r="B28" s="686"/>
      <c r="C28" s="687"/>
      <c r="D28" s="687"/>
      <c r="E28" s="686"/>
      <c r="F28" s="687"/>
      <c r="G28" s="687"/>
      <c r="H28" s="686"/>
      <c r="I28" s="687"/>
      <c r="J28" s="687"/>
      <c r="K28" s="687"/>
      <c r="L28" s="495"/>
      <c r="M28" s="164" t="str">
        <f t="shared" ca="1" si="0"/>
        <v/>
      </c>
      <c r="N28" s="161"/>
      <c r="O28" s="163" t="str">
        <f t="shared" ca="1" si="13"/>
        <v xml:space="preserve"> </v>
      </c>
      <c r="P28" s="169"/>
      <c r="Q28" s="629"/>
      <c r="R28" s="629"/>
      <c r="S28" s="629"/>
      <c r="T28" s="629"/>
      <c r="U28" s="178"/>
      <c r="V28" s="178">
        <f t="shared" ca="1" si="14"/>
        <v>0</v>
      </c>
      <c r="W28" s="178"/>
      <c r="X28" s="178">
        <f t="shared" si="15"/>
        <v>0</v>
      </c>
      <c r="Y28" s="166">
        <f t="shared" si="16"/>
        <v>0</v>
      </c>
      <c r="AA28" s="460">
        <f t="shared" si="6"/>
        <v>0</v>
      </c>
      <c r="AB28" s="257" t="b">
        <f t="shared" si="2"/>
        <v>0</v>
      </c>
      <c r="AC28" s="257" t="b">
        <f t="shared" si="2"/>
        <v>0</v>
      </c>
      <c r="AD28" s="467" t="b">
        <f t="shared" si="2"/>
        <v>0</v>
      </c>
      <c r="AE28" s="460" t="b">
        <f t="shared" si="7"/>
        <v>0</v>
      </c>
      <c r="AF28" s="257" t="b">
        <f t="shared" si="8"/>
        <v>0</v>
      </c>
      <c r="AG28" s="459">
        <f t="shared" si="9"/>
        <v>0</v>
      </c>
      <c r="AH28" s="460" t="b">
        <f t="shared" si="10"/>
        <v>0</v>
      </c>
      <c r="AI28" s="257" t="b">
        <f t="shared" si="11"/>
        <v>0</v>
      </c>
      <c r="AJ28" s="459">
        <f t="shared" si="12"/>
        <v>0</v>
      </c>
    </row>
    <row r="29" spans="1:36" x14ac:dyDescent="0.2">
      <c r="A29" s="494"/>
      <c r="B29" s="686"/>
      <c r="C29" s="687"/>
      <c r="D29" s="687"/>
      <c r="E29" s="686"/>
      <c r="F29" s="687"/>
      <c r="G29" s="687"/>
      <c r="H29" s="686"/>
      <c r="I29" s="687"/>
      <c r="J29" s="687"/>
      <c r="K29" s="687"/>
      <c r="L29" s="495"/>
      <c r="M29" s="164" t="str">
        <f t="shared" ca="1" si="0"/>
        <v/>
      </c>
      <c r="N29" s="161"/>
      <c r="O29" s="163" t="str">
        <f t="shared" ca="1" si="13"/>
        <v xml:space="preserve"> </v>
      </c>
      <c r="P29" s="168"/>
      <c r="Q29" s="629"/>
      <c r="R29" s="629"/>
      <c r="S29" s="629"/>
      <c r="T29" s="629"/>
      <c r="U29" s="178"/>
      <c r="V29" s="178">
        <f t="shared" ca="1" si="14"/>
        <v>0</v>
      </c>
      <c r="W29" s="178"/>
      <c r="X29" s="178">
        <f t="shared" si="15"/>
        <v>0</v>
      </c>
      <c r="Y29" s="166">
        <f t="shared" si="16"/>
        <v>0</v>
      </c>
      <c r="AA29" s="460">
        <f t="shared" si="6"/>
        <v>0</v>
      </c>
      <c r="AB29" s="257" t="b">
        <f t="shared" si="2"/>
        <v>0</v>
      </c>
      <c r="AC29" s="257" t="b">
        <f t="shared" si="2"/>
        <v>0</v>
      </c>
      <c r="AD29" s="467" t="b">
        <f t="shared" si="2"/>
        <v>0</v>
      </c>
      <c r="AE29" s="460" t="b">
        <f t="shared" si="7"/>
        <v>0</v>
      </c>
      <c r="AF29" s="257" t="b">
        <f t="shared" si="8"/>
        <v>0</v>
      </c>
      <c r="AG29" s="459">
        <f t="shared" si="9"/>
        <v>0</v>
      </c>
      <c r="AH29" s="460" t="b">
        <f t="shared" si="10"/>
        <v>0</v>
      </c>
      <c r="AI29" s="257" t="b">
        <f t="shared" si="11"/>
        <v>0</v>
      </c>
      <c r="AJ29" s="459">
        <f t="shared" si="12"/>
        <v>0</v>
      </c>
    </row>
    <row r="30" spans="1:36" x14ac:dyDescent="0.2">
      <c r="A30" s="494"/>
      <c r="B30" s="686"/>
      <c r="C30" s="687"/>
      <c r="D30" s="687"/>
      <c r="E30" s="686"/>
      <c r="F30" s="687"/>
      <c r="G30" s="687"/>
      <c r="H30" s="686"/>
      <c r="I30" s="687"/>
      <c r="J30" s="687"/>
      <c r="K30" s="687"/>
      <c r="L30" s="495"/>
      <c r="M30" s="164" t="str">
        <f t="shared" ca="1" si="0"/>
        <v/>
      </c>
      <c r="N30" s="161"/>
      <c r="O30" s="163" t="str">
        <f t="shared" ref="O30:O33" ca="1" si="17">IF(AND(L30&gt;=75,M30&lt;&gt;"disallow"),1," ")</f>
        <v xml:space="preserve"> </v>
      </c>
      <c r="P30" s="168"/>
      <c r="Q30" s="629"/>
      <c r="R30" s="629"/>
      <c r="S30" s="629"/>
      <c r="T30" s="629"/>
      <c r="U30" s="178"/>
      <c r="V30" s="178">
        <f t="shared" ref="V30:V33" ca="1" si="18">IF(AND(M30="disallow",W30=0),L30,0)</f>
        <v>0</v>
      </c>
      <c r="W30" s="178"/>
      <c r="X30" s="178">
        <f t="shared" ref="X30:X33" si="19">IF(W30&gt;0,-U30,0)</f>
        <v>0</v>
      </c>
      <c r="Y30" s="166">
        <f t="shared" ref="Y30:Y33" si="20">IF(AND(A30&lt;Fiscal_Start_Date,submit_date-A30&lt;90,submit_date&gt;=0),L30,0)</f>
        <v>0</v>
      </c>
      <c r="AA30" s="460">
        <f t="shared" si="6"/>
        <v>0</v>
      </c>
      <c r="AB30" s="257" t="b">
        <f t="shared" si="2"/>
        <v>0</v>
      </c>
      <c r="AC30" s="257" t="b">
        <f t="shared" si="2"/>
        <v>0</v>
      </c>
      <c r="AD30" s="467" t="b">
        <f t="shared" si="2"/>
        <v>0</v>
      </c>
      <c r="AE30" s="460" t="b">
        <f t="shared" si="7"/>
        <v>0</v>
      </c>
      <c r="AF30" s="257" t="b">
        <f t="shared" si="8"/>
        <v>0</v>
      </c>
      <c r="AG30" s="459">
        <f t="shared" si="9"/>
        <v>0</v>
      </c>
      <c r="AH30" s="460" t="b">
        <f t="shared" si="10"/>
        <v>0</v>
      </c>
      <c r="AI30" s="257" t="b">
        <f t="shared" si="11"/>
        <v>0</v>
      </c>
      <c r="AJ30" s="459">
        <f t="shared" si="12"/>
        <v>0</v>
      </c>
    </row>
    <row r="31" spans="1:36" x14ac:dyDescent="0.2">
      <c r="A31" s="494"/>
      <c r="B31" s="686"/>
      <c r="C31" s="687"/>
      <c r="D31" s="687"/>
      <c r="E31" s="686"/>
      <c r="F31" s="687"/>
      <c r="G31" s="687"/>
      <c r="H31" s="686"/>
      <c r="I31" s="687"/>
      <c r="J31" s="687"/>
      <c r="K31" s="687"/>
      <c r="L31" s="495"/>
      <c r="M31" s="164" t="str">
        <f t="shared" ca="1" si="0"/>
        <v/>
      </c>
      <c r="N31" s="161"/>
      <c r="O31" s="163" t="str">
        <f t="shared" ca="1" si="17"/>
        <v xml:space="preserve"> </v>
      </c>
      <c r="P31" s="168"/>
      <c r="Q31" s="629"/>
      <c r="R31" s="629"/>
      <c r="S31" s="629"/>
      <c r="T31" s="629"/>
      <c r="U31" s="178"/>
      <c r="V31" s="178">
        <f t="shared" ca="1" si="18"/>
        <v>0</v>
      </c>
      <c r="W31" s="178"/>
      <c r="X31" s="178">
        <f t="shared" si="19"/>
        <v>0</v>
      </c>
      <c r="Y31" s="166">
        <f t="shared" si="20"/>
        <v>0</v>
      </c>
      <c r="AA31" s="460">
        <f t="shared" si="6"/>
        <v>0</v>
      </c>
      <c r="AB31" s="257" t="b">
        <f t="shared" si="2"/>
        <v>0</v>
      </c>
      <c r="AC31" s="257" t="b">
        <f t="shared" si="2"/>
        <v>0</v>
      </c>
      <c r="AD31" s="467" t="b">
        <f t="shared" si="2"/>
        <v>0</v>
      </c>
      <c r="AE31" s="460" t="b">
        <f t="shared" si="7"/>
        <v>0</v>
      </c>
      <c r="AF31" s="257" t="b">
        <f t="shared" si="8"/>
        <v>0</v>
      </c>
      <c r="AG31" s="459">
        <f t="shared" si="9"/>
        <v>0</v>
      </c>
      <c r="AH31" s="460" t="b">
        <f t="shared" si="10"/>
        <v>0</v>
      </c>
      <c r="AI31" s="257" t="b">
        <f t="shared" si="11"/>
        <v>0</v>
      </c>
      <c r="AJ31" s="459">
        <f t="shared" si="12"/>
        <v>0</v>
      </c>
    </row>
    <row r="32" spans="1:36" x14ac:dyDescent="0.2">
      <c r="A32" s="494"/>
      <c r="B32" s="686"/>
      <c r="C32" s="687"/>
      <c r="D32" s="687"/>
      <c r="E32" s="686"/>
      <c r="F32" s="687"/>
      <c r="G32" s="687"/>
      <c r="H32" s="686"/>
      <c r="I32" s="687"/>
      <c r="J32" s="687"/>
      <c r="K32" s="687"/>
      <c r="L32" s="495"/>
      <c r="M32" s="164" t="str">
        <f t="shared" ca="1" si="0"/>
        <v/>
      </c>
      <c r="N32" s="161"/>
      <c r="O32" s="163" t="str">
        <f t="shared" ca="1" si="17"/>
        <v xml:space="preserve"> </v>
      </c>
      <c r="P32" s="169"/>
      <c r="Q32" s="629"/>
      <c r="R32" s="629"/>
      <c r="S32" s="629"/>
      <c r="T32" s="629"/>
      <c r="U32" s="178"/>
      <c r="V32" s="178">
        <f t="shared" ca="1" si="18"/>
        <v>0</v>
      </c>
      <c r="W32" s="178"/>
      <c r="X32" s="178">
        <f t="shared" si="19"/>
        <v>0</v>
      </c>
      <c r="Y32" s="166">
        <f t="shared" si="20"/>
        <v>0</v>
      </c>
      <c r="AA32" s="460">
        <f t="shared" si="6"/>
        <v>0</v>
      </c>
      <c r="AB32" s="257" t="b">
        <f t="shared" si="2"/>
        <v>0</v>
      </c>
      <c r="AC32" s="257" t="b">
        <f t="shared" si="2"/>
        <v>0</v>
      </c>
      <c r="AD32" s="467" t="b">
        <f t="shared" si="2"/>
        <v>0</v>
      </c>
      <c r="AE32" s="460" t="b">
        <f t="shared" si="7"/>
        <v>0</v>
      </c>
      <c r="AF32" s="257" t="b">
        <f t="shared" si="8"/>
        <v>0</v>
      </c>
      <c r="AG32" s="459">
        <f t="shared" si="9"/>
        <v>0</v>
      </c>
      <c r="AH32" s="460" t="b">
        <f t="shared" si="10"/>
        <v>0</v>
      </c>
      <c r="AI32" s="257" t="b">
        <f t="shared" si="11"/>
        <v>0</v>
      </c>
      <c r="AJ32" s="459">
        <f t="shared" si="12"/>
        <v>0</v>
      </c>
    </row>
    <row r="33" spans="1:36" x14ac:dyDescent="0.2">
      <c r="A33" s="494"/>
      <c r="B33" s="686"/>
      <c r="C33" s="687"/>
      <c r="D33" s="687"/>
      <c r="E33" s="686"/>
      <c r="F33" s="687"/>
      <c r="G33" s="687"/>
      <c r="H33" s="686"/>
      <c r="I33" s="687"/>
      <c r="J33" s="687"/>
      <c r="K33" s="687"/>
      <c r="L33" s="495"/>
      <c r="M33" s="164" t="str">
        <f t="shared" ca="1" si="0"/>
        <v/>
      </c>
      <c r="N33" s="161"/>
      <c r="O33" s="163" t="str">
        <f t="shared" ca="1" si="17"/>
        <v xml:space="preserve"> </v>
      </c>
      <c r="P33" s="168"/>
      <c r="Q33" s="629"/>
      <c r="R33" s="629"/>
      <c r="S33" s="629"/>
      <c r="T33" s="629"/>
      <c r="U33" s="178"/>
      <c r="V33" s="178">
        <f t="shared" ca="1" si="18"/>
        <v>0</v>
      </c>
      <c r="W33" s="178"/>
      <c r="X33" s="178">
        <f t="shared" si="19"/>
        <v>0</v>
      </c>
      <c r="Y33" s="166">
        <f t="shared" si="20"/>
        <v>0</v>
      </c>
      <c r="AA33" s="460">
        <f t="shared" si="6"/>
        <v>0</v>
      </c>
      <c r="AB33" s="257" t="b">
        <f t="shared" si="2"/>
        <v>0</v>
      </c>
      <c r="AC33" s="257" t="b">
        <f t="shared" si="2"/>
        <v>0</v>
      </c>
      <c r="AD33" s="467" t="b">
        <f t="shared" si="2"/>
        <v>0</v>
      </c>
      <c r="AE33" s="460" t="b">
        <f t="shared" si="7"/>
        <v>0</v>
      </c>
      <c r="AF33" s="257" t="b">
        <f t="shared" si="8"/>
        <v>0</v>
      </c>
      <c r="AG33" s="459">
        <f t="shared" si="9"/>
        <v>0</v>
      </c>
      <c r="AH33" s="460" t="b">
        <f t="shared" si="10"/>
        <v>0</v>
      </c>
      <c r="AI33" s="257" t="b">
        <f t="shared" si="11"/>
        <v>0</v>
      </c>
      <c r="AJ33" s="459">
        <f t="shared" si="12"/>
        <v>0</v>
      </c>
    </row>
    <row r="34" spans="1:36" x14ac:dyDescent="0.2">
      <c r="A34" s="494"/>
      <c r="B34" s="686"/>
      <c r="C34" s="687"/>
      <c r="D34" s="687"/>
      <c r="E34" s="686"/>
      <c r="F34" s="687"/>
      <c r="G34" s="687"/>
      <c r="H34" s="686"/>
      <c r="I34" s="687"/>
      <c r="J34" s="687"/>
      <c r="K34" s="687"/>
      <c r="L34" s="495"/>
      <c r="M34" s="164" t="str">
        <f t="shared" ca="1" si="0"/>
        <v/>
      </c>
      <c r="N34" s="161"/>
      <c r="O34" s="163" t="str">
        <f t="shared" ca="1" si="13"/>
        <v xml:space="preserve"> </v>
      </c>
      <c r="P34" s="168"/>
      <c r="Q34" s="629"/>
      <c r="R34" s="629"/>
      <c r="S34" s="629"/>
      <c r="T34" s="629"/>
      <c r="U34" s="178"/>
      <c r="V34" s="178">
        <f t="shared" ca="1" si="14"/>
        <v>0</v>
      </c>
      <c r="W34" s="178"/>
      <c r="X34" s="178">
        <f t="shared" si="15"/>
        <v>0</v>
      </c>
      <c r="Y34" s="166">
        <f t="shared" si="16"/>
        <v>0</v>
      </c>
      <c r="AA34" s="460">
        <f t="shared" si="6"/>
        <v>0</v>
      </c>
      <c r="AB34" s="257" t="b">
        <f t="shared" si="2"/>
        <v>0</v>
      </c>
      <c r="AC34" s="257" t="b">
        <f t="shared" si="2"/>
        <v>0</v>
      </c>
      <c r="AD34" s="467" t="b">
        <f t="shared" si="2"/>
        <v>0</v>
      </c>
      <c r="AE34" s="460" t="b">
        <f t="shared" si="7"/>
        <v>0</v>
      </c>
      <c r="AF34" s="257" t="b">
        <f t="shared" si="8"/>
        <v>0</v>
      </c>
      <c r="AG34" s="459">
        <f t="shared" si="9"/>
        <v>0</v>
      </c>
      <c r="AH34" s="460" t="b">
        <f t="shared" si="10"/>
        <v>0</v>
      </c>
      <c r="AI34" s="257" t="b">
        <f t="shared" si="11"/>
        <v>0</v>
      </c>
      <c r="AJ34" s="459">
        <f t="shared" si="12"/>
        <v>0</v>
      </c>
    </row>
    <row r="35" spans="1:36" x14ac:dyDescent="0.2">
      <c r="A35" s="494"/>
      <c r="B35" s="686"/>
      <c r="C35" s="687"/>
      <c r="D35" s="687"/>
      <c r="E35" s="686"/>
      <c r="F35" s="687"/>
      <c r="G35" s="687"/>
      <c r="H35" s="686"/>
      <c r="I35" s="687"/>
      <c r="J35" s="687"/>
      <c r="K35" s="687"/>
      <c r="L35" s="495"/>
      <c r="M35" s="164" t="str">
        <f t="shared" ca="1" si="0"/>
        <v/>
      </c>
      <c r="N35" s="161"/>
      <c r="O35" s="163" t="str">
        <f t="shared" ca="1" si="13"/>
        <v xml:space="preserve"> </v>
      </c>
      <c r="P35" s="168"/>
      <c r="Q35" s="629"/>
      <c r="R35" s="629"/>
      <c r="S35" s="629"/>
      <c r="T35" s="629"/>
      <c r="U35" s="178"/>
      <c r="V35" s="178">
        <f t="shared" ca="1" si="14"/>
        <v>0</v>
      </c>
      <c r="W35" s="178"/>
      <c r="X35" s="178">
        <f t="shared" si="15"/>
        <v>0</v>
      </c>
      <c r="Y35" s="166">
        <f t="shared" si="16"/>
        <v>0</v>
      </c>
      <c r="AA35" s="460">
        <f t="shared" si="6"/>
        <v>0</v>
      </c>
      <c r="AB35" s="257" t="b">
        <f t="shared" si="2"/>
        <v>0</v>
      </c>
      <c r="AC35" s="257" t="b">
        <f t="shared" si="2"/>
        <v>0</v>
      </c>
      <c r="AD35" s="467" t="b">
        <f t="shared" si="2"/>
        <v>0</v>
      </c>
      <c r="AE35" s="460" t="b">
        <f t="shared" si="7"/>
        <v>0</v>
      </c>
      <c r="AF35" s="257" t="b">
        <f t="shared" si="8"/>
        <v>0</v>
      </c>
      <c r="AG35" s="459">
        <f t="shared" si="9"/>
        <v>0</v>
      </c>
      <c r="AH35" s="460" t="b">
        <f t="shared" si="10"/>
        <v>0</v>
      </c>
      <c r="AI35" s="257" t="b">
        <f t="shared" si="11"/>
        <v>0</v>
      </c>
      <c r="AJ35" s="459">
        <f t="shared" si="12"/>
        <v>0</v>
      </c>
    </row>
    <row r="36" spans="1:36" x14ac:dyDescent="0.2">
      <c r="A36" s="494"/>
      <c r="B36" s="686"/>
      <c r="C36" s="687"/>
      <c r="D36" s="687"/>
      <c r="E36" s="686"/>
      <c r="F36" s="687"/>
      <c r="G36" s="687"/>
      <c r="H36" s="686"/>
      <c r="I36" s="687"/>
      <c r="J36" s="687"/>
      <c r="K36" s="687"/>
      <c r="L36" s="495"/>
      <c r="M36" s="164" t="str">
        <f t="shared" ca="1" si="0"/>
        <v/>
      </c>
      <c r="N36" s="161"/>
      <c r="O36" s="163" t="str">
        <f t="shared" ca="1" si="13"/>
        <v xml:space="preserve"> </v>
      </c>
      <c r="P36" s="169"/>
      <c r="Q36" s="629"/>
      <c r="R36" s="629"/>
      <c r="S36" s="629"/>
      <c r="T36" s="629"/>
      <c r="U36" s="178"/>
      <c r="V36" s="178">
        <f t="shared" ca="1" si="14"/>
        <v>0</v>
      </c>
      <c r="W36" s="178"/>
      <c r="X36" s="178">
        <f t="shared" si="15"/>
        <v>0</v>
      </c>
      <c r="Y36" s="166">
        <f t="shared" si="16"/>
        <v>0</v>
      </c>
      <c r="AA36" s="460">
        <f t="shared" si="6"/>
        <v>0</v>
      </c>
      <c r="AB36" s="257" t="b">
        <f t="shared" si="2"/>
        <v>0</v>
      </c>
      <c r="AC36" s="257" t="b">
        <f t="shared" si="2"/>
        <v>0</v>
      </c>
      <c r="AD36" s="467" t="b">
        <f t="shared" si="2"/>
        <v>0</v>
      </c>
      <c r="AE36" s="460" t="b">
        <f t="shared" si="7"/>
        <v>0</v>
      </c>
      <c r="AF36" s="257" t="b">
        <f t="shared" si="8"/>
        <v>0</v>
      </c>
      <c r="AG36" s="459">
        <f t="shared" si="9"/>
        <v>0</v>
      </c>
      <c r="AH36" s="460" t="b">
        <f t="shared" si="10"/>
        <v>0</v>
      </c>
      <c r="AI36" s="257" t="b">
        <f t="shared" si="11"/>
        <v>0</v>
      </c>
      <c r="AJ36" s="459">
        <f t="shared" si="12"/>
        <v>0</v>
      </c>
    </row>
    <row r="37" spans="1:36" x14ac:dyDescent="0.2">
      <c r="A37" s="494"/>
      <c r="B37" s="686"/>
      <c r="C37" s="687"/>
      <c r="D37" s="687"/>
      <c r="E37" s="686"/>
      <c r="F37" s="687"/>
      <c r="G37" s="687"/>
      <c r="H37" s="686"/>
      <c r="I37" s="687"/>
      <c r="J37" s="687"/>
      <c r="K37" s="687"/>
      <c r="L37" s="495"/>
      <c r="M37" s="164" t="str">
        <f t="shared" ca="1" si="0"/>
        <v/>
      </c>
      <c r="N37" s="161"/>
      <c r="O37" s="163" t="str">
        <f t="shared" ca="1" si="3"/>
        <v xml:space="preserve"> </v>
      </c>
      <c r="P37" s="168"/>
      <c r="Q37" s="629"/>
      <c r="R37" s="629"/>
      <c r="S37" s="629"/>
      <c r="T37" s="629"/>
      <c r="U37" s="178"/>
      <c r="V37" s="178">
        <f t="shared" ca="1" si="4"/>
        <v>0</v>
      </c>
      <c r="W37" s="178"/>
      <c r="X37" s="178">
        <f t="shared" si="5"/>
        <v>0</v>
      </c>
      <c r="Y37" s="166">
        <f t="shared" si="1"/>
        <v>0</v>
      </c>
      <c r="AA37" s="460">
        <f t="shared" si="6"/>
        <v>0</v>
      </c>
      <c r="AB37" s="257" t="b">
        <f t="shared" ref="AB37:AD57" si="21">SUMPRODUCT(--ISNUMBER(SEARCH(AB$15,$B37:$K37)))&gt;0</f>
        <v>0</v>
      </c>
      <c r="AC37" s="257" t="b">
        <f t="shared" si="21"/>
        <v>0</v>
      </c>
      <c r="AD37" s="467" t="b">
        <f t="shared" si="21"/>
        <v>0</v>
      </c>
      <c r="AE37" s="460" t="b">
        <f t="shared" si="7"/>
        <v>0</v>
      </c>
      <c r="AF37" s="257" t="b">
        <f t="shared" si="8"/>
        <v>0</v>
      </c>
      <c r="AG37" s="459">
        <f t="shared" si="9"/>
        <v>0</v>
      </c>
      <c r="AH37" s="460" t="b">
        <f t="shared" si="10"/>
        <v>0</v>
      </c>
      <c r="AI37" s="257" t="b">
        <f t="shared" si="11"/>
        <v>0</v>
      </c>
      <c r="AJ37" s="459">
        <f t="shared" si="12"/>
        <v>0</v>
      </c>
    </row>
    <row r="38" spans="1:36" x14ac:dyDescent="0.2">
      <c r="A38" s="494"/>
      <c r="B38" s="686"/>
      <c r="C38" s="687"/>
      <c r="D38" s="687"/>
      <c r="E38" s="686"/>
      <c r="F38" s="687"/>
      <c r="G38" s="687"/>
      <c r="H38" s="686"/>
      <c r="I38" s="687"/>
      <c r="J38" s="687"/>
      <c r="K38" s="687"/>
      <c r="L38" s="495"/>
      <c r="M38" s="164" t="str">
        <f t="shared" ca="1" si="0"/>
        <v/>
      </c>
      <c r="N38" s="161"/>
      <c r="O38" s="163" t="str">
        <f t="shared" ca="1" si="3"/>
        <v xml:space="preserve"> </v>
      </c>
      <c r="P38" s="168"/>
      <c r="Q38" s="629"/>
      <c r="R38" s="629"/>
      <c r="S38" s="629"/>
      <c r="T38" s="629"/>
      <c r="U38" s="178"/>
      <c r="V38" s="178">
        <f t="shared" ca="1" si="4"/>
        <v>0</v>
      </c>
      <c r="W38" s="178"/>
      <c r="X38" s="178">
        <f t="shared" si="5"/>
        <v>0</v>
      </c>
      <c r="Y38" s="166">
        <f t="shared" si="1"/>
        <v>0</v>
      </c>
      <c r="AA38" s="460">
        <f t="shared" si="6"/>
        <v>0</v>
      </c>
      <c r="AB38" s="257" t="b">
        <f t="shared" si="21"/>
        <v>0</v>
      </c>
      <c r="AC38" s="257" t="b">
        <f t="shared" si="21"/>
        <v>0</v>
      </c>
      <c r="AD38" s="467" t="b">
        <f t="shared" si="21"/>
        <v>0</v>
      </c>
      <c r="AE38" s="460" t="b">
        <f t="shared" si="7"/>
        <v>0</v>
      </c>
      <c r="AF38" s="257" t="b">
        <f t="shared" si="8"/>
        <v>0</v>
      </c>
      <c r="AG38" s="459">
        <f t="shared" si="9"/>
        <v>0</v>
      </c>
      <c r="AH38" s="460" t="b">
        <f t="shared" si="10"/>
        <v>0</v>
      </c>
      <c r="AI38" s="257" t="b">
        <f t="shared" si="11"/>
        <v>0</v>
      </c>
      <c r="AJ38" s="459">
        <f t="shared" si="12"/>
        <v>0</v>
      </c>
    </row>
    <row r="39" spans="1:36" x14ac:dyDescent="0.2">
      <c r="A39" s="494"/>
      <c r="B39" s="686"/>
      <c r="C39" s="687"/>
      <c r="D39" s="687"/>
      <c r="E39" s="686"/>
      <c r="F39" s="687"/>
      <c r="G39" s="687"/>
      <c r="H39" s="686"/>
      <c r="I39" s="687"/>
      <c r="J39" s="687"/>
      <c r="K39" s="687"/>
      <c r="L39" s="495"/>
      <c r="M39" s="164" t="str">
        <f t="shared" ca="1" si="0"/>
        <v/>
      </c>
      <c r="N39" s="161"/>
      <c r="O39" s="163" t="str">
        <f t="shared" ca="1" si="3"/>
        <v xml:space="preserve"> </v>
      </c>
      <c r="P39" s="168"/>
      <c r="Q39" s="629"/>
      <c r="R39" s="629"/>
      <c r="S39" s="629"/>
      <c r="T39" s="629"/>
      <c r="U39" s="178"/>
      <c r="V39" s="178">
        <f t="shared" ca="1" si="4"/>
        <v>0</v>
      </c>
      <c r="W39" s="178"/>
      <c r="X39" s="178">
        <f t="shared" si="5"/>
        <v>0</v>
      </c>
      <c r="Y39" s="166">
        <f t="shared" si="1"/>
        <v>0</v>
      </c>
      <c r="AA39" s="460">
        <f t="shared" si="6"/>
        <v>0</v>
      </c>
      <c r="AB39" s="257" t="b">
        <f t="shared" si="21"/>
        <v>0</v>
      </c>
      <c r="AC39" s="257" t="b">
        <f t="shared" si="21"/>
        <v>0</v>
      </c>
      <c r="AD39" s="467" t="b">
        <f t="shared" si="21"/>
        <v>0</v>
      </c>
      <c r="AE39" s="460" t="b">
        <f t="shared" si="7"/>
        <v>0</v>
      </c>
      <c r="AF39" s="257" t="b">
        <f t="shared" si="8"/>
        <v>0</v>
      </c>
      <c r="AG39" s="459">
        <f t="shared" si="9"/>
        <v>0</v>
      </c>
      <c r="AH39" s="460" t="b">
        <f t="shared" si="10"/>
        <v>0</v>
      </c>
      <c r="AI39" s="257" t="b">
        <f t="shared" si="11"/>
        <v>0</v>
      </c>
      <c r="AJ39" s="459">
        <f t="shared" si="12"/>
        <v>0</v>
      </c>
    </row>
    <row r="40" spans="1:36" x14ac:dyDescent="0.2">
      <c r="A40" s="494"/>
      <c r="B40" s="686"/>
      <c r="C40" s="687"/>
      <c r="D40" s="687"/>
      <c r="E40" s="686"/>
      <c r="F40" s="687"/>
      <c r="G40" s="687"/>
      <c r="H40" s="686"/>
      <c r="I40" s="687"/>
      <c r="J40" s="687"/>
      <c r="K40" s="687"/>
      <c r="L40" s="495"/>
      <c r="M40" s="164" t="str">
        <f t="shared" ca="1" si="0"/>
        <v/>
      </c>
      <c r="N40" s="161"/>
      <c r="O40" s="163" t="str">
        <f t="shared" ca="1" si="3"/>
        <v xml:space="preserve"> </v>
      </c>
      <c r="P40" s="169"/>
      <c r="Q40" s="629"/>
      <c r="R40" s="629"/>
      <c r="S40" s="629"/>
      <c r="T40" s="629"/>
      <c r="U40" s="178"/>
      <c r="V40" s="178">
        <f t="shared" ca="1" si="4"/>
        <v>0</v>
      </c>
      <c r="W40" s="178"/>
      <c r="X40" s="178">
        <f t="shared" si="5"/>
        <v>0</v>
      </c>
      <c r="Y40" s="166">
        <f t="shared" si="1"/>
        <v>0</v>
      </c>
      <c r="AA40" s="460">
        <f t="shared" si="6"/>
        <v>0</v>
      </c>
      <c r="AB40" s="257" t="b">
        <f t="shared" si="21"/>
        <v>0</v>
      </c>
      <c r="AC40" s="257" t="b">
        <f t="shared" si="21"/>
        <v>0</v>
      </c>
      <c r="AD40" s="467" t="b">
        <f t="shared" si="21"/>
        <v>0</v>
      </c>
      <c r="AE40" s="460" t="b">
        <f t="shared" si="7"/>
        <v>0</v>
      </c>
      <c r="AF40" s="257" t="b">
        <f t="shared" si="8"/>
        <v>0</v>
      </c>
      <c r="AG40" s="459">
        <f t="shared" si="9"/>
        <v>0</v>
      </c>
      <c r="AH40" s="460" t="b">
        <f t="shared" si="10"/>
        <v>0</v>
      </c>
      <c r="AI40" s="257" t="b">
        <f t="shared" si="11"/>
        <v>0</v>
      </c>
      <c r="AJ40" s="459">
        <f t="shared" si="12"/>
        <v>0</v>
      </c>
    </row>
    <row r="41" spans="1:36" x14ac:dyDescent="0.2">
      <c r="A41" s="494"/>
      <c r="B41" s="686"/>
      <c r="C41" s="687"/>
      <c r="D41" s="687"/>
      <c r="E41" s="686"/>
      <c r="F41" s="687"/>
      <c r="G41" s="687"/>
      <c r="H41" s="686"/>
      <c r="I41" s="687"/>
      <c r="J41" s="687"/>
      <c r="K41" s="687"/>
      <c r="L41" s="495"/>
      <c r="M41" s="164" t="str">
        <f t="shared" ca="1" si="0"/>
        <v/>
      </c>
      <c r="N41" s="161"/>
      <c r="O41" s="163" t="str">
        <f t="shared" ca="1" si="3"/>
        <v xml:space="preserve"> </v>
      </c>
      <c r="P41" s="168"/>
      <c r="Q41" s="629"/>
      <c r="R41" s="629"/>
      <c r="S41" s="629"/>
      <c r="T41" s="629"/>
      <c r="U41" s="178"/>
      <c r="V41" s="178">
        <f t="shared" ca="1" si="4"/>
        <v>0</v>
      </c>
      <c r="W41" s="178"/>
      <c r="X41" s="178">
        <f t="shared" si="5"/>
        <v>0</v>
      </c>
      <c r="Y41" s="166">
        <f t="shared" si="1"/>
        <v>0</v>
      </c>
      <c r="AA41" s="460">
        <f t="shared" si="6"/>
        <v>0</v>
      </c>
      <c r="AB41" s="257" t="b">
        <f t="shared" si="21"/>
        <v>0</v>
      </c>
      <c r="AC41" s="257" t="b">
        <f t="shared" si="21"/>
        <v>0</v>
      </c>
      <c r="AD41" s="467" t="b">
        <f t="shared" si="21"/>
        <v>0</v>
      </c>
      <c r="AE41" s="460" t="b">
        <f t="shared" si="7"/>
        <v>0</v>
      </c>
      <c r="AF41" s="257" t="b">
        <f t="shared" si="8"/>
        <v>0</v>
      </c>
      <c r="AG41" s="459">
        <f t="shared" si="9"/>
        <v>0</v>
      </c>
      <c r="AH41" s="460" t="b">
        <f t="shared" si="10"/>
        <v>0</v>
      </c>
      <c r="AI41" s="257" t="b">
        <f t="shared" si="11"/>
        <v>0</v>
      </c>
      <c r="AJ41" s="459">
        <f t="shared" si="12"/>
        <v>0</v>
      </c>
    </row>
    <row r="42" spans="1:36" x14ac:dyDescent="0.2">
      <c r="A42" s="494"/>
      <c r="B42" s="686"/>
      <c r="C42" s="687"/>
      <c r="D42" s="687"/>
      <c r="E42" s="686"/>
      <c r="F42" s="687"/>
      <c r="G42" s="687"/>
      <c r="H42" s="686"/>
      <c r="I42" s="687"/>
      <c r="J42" s="687"/>
      <c r="K42" s="687"/>
      <c r="L42" s="495"/>
      <c r="M42" s="164" t="str">
        <f t="shared" ca="1" si="0"/>
        <v/>
      </c>
      <c r="N42" s="161"/>
      <c r="O42" s="163" t="str">
        <f t="shared" ca="1" si="3"/>
        <v xml:space="preserve"> </v>
      </c>
      <c r="P42" s="168"/>
      <c r="Q42" s="629"/>
      <c r="R42" s="629"/>
      <c r="S42" s="629"/>
      <c r="T42" s="629"/>
      <c r="U42" s="178"/>
      <c r="V42" s="178">
        <f t="shared" ca="1" si="4"/>
        <v>0</v>
      </c>
      <c r="W42" s="178"/>
      <c r="X42" s="178">
        <f t="shared" si="5"/>
        <v>0</v>
      </c>
      <c r="Y42" s="166">
        <f t="shared" si="1"/>
        <v>0</v>
      </c>
      <c r="AA42" s="460">
        <f t="shared" si="6"/>
        <v>0</v>
      </c>
      <c r="AB42" s="257" t="b">
        <f t="shared" si="21"/>
        <v>0</v>
      </c>
      <c r="AC42" s="257" t="b">
        <f t="shared" si="21"/>
        <v>0</v>
      </c>
      <c r="AD42" s="467" t="b">
        <f t="shared" si="21"/>
        <v>0</v>
      </c>
      <c r="AE42" s="460" t="b">
        <f t="shared" si="7"/>
        <v>0</v>
      </c>
      <c r="AF42" s="257" t="b">
        <f t="shared" si="8"/>
        <v>0</v>
      </c>
      <c r="AG42" s="459">
        <f t="shared" si="9"/>
        <v>0</v>
      </c>
      <c r="AH42" s="460" t="b">
        <f t="shared" si="10"/>
        <v>0</v>
      </c>
      <c r="AI42" s="257" t="b">
        <f t="shared" si="11"/>
        <v>0</v>
      </c>
      <c r="AJ42" s="459">
        <f t="shared" si="12"/>
        <v>0</v>
      </c>
    </row>
    <row r="43" spans="1:36" x14ac:dyDescent="0.2">
      <c r="A43" s="494"/>
      <c r="B43" s="686"/>
      <c r="C43" s="687"/>
      <c r="D43" s="687"/>
      <c r="E43" s="686"/>
      <c r="F43" s="687"/>
      <c r="G43" s="687"/>
      <c r="H43" s="686"/>
      <c r="I43" s="687"/>
      <c r="J43" s="687"/>
      <c r="K43" s="687"/>
      <c r="L43" s="495"/>
      <c r="M43" s="164" t="str">
        <f t="shared" ca="1" si="0"/>
        <v/>
      </c>
      <c r="N43" s="161"/>
      <c r="O43" s="163" t="str">
        <f t="shared" ca="1" si="3"/>
        <v xml:space="preserve"> </v>
      </c>
      <c r="P43" s="168"/>
      <c r="Q43" s="629"/>
      <c r="R43" s="629"/>
      <c r="S43" s="629"/>
      <c r="T43" s="629"/>
      <c r="U43" s="178"/>
      <c r="V43" s="178">
        <f t="shared" ca="1" si="4"/>
        <v>0</v>
      </c>
      <c r="W43" s="178"/>
      <c r="X43" s="178">
        <f t="shared" si="5"/>
        <v>0</v>
      </c>
      <c r="Y43" s="166">
        <f t="shared" si="1"/>
        <v>0</v>
      </c>
      <c r="AA43" s="460">
        <f t="shared" si="6"/>
        <v>0</v>
      </c>
      <c r="AB43" s="257" t="b">
        <f t="shared" si="21"/>
        <v>0</v>
      </c>
      <c r="AC43" s="257" t="b">
        <f t="shared" si="21"/>
        <v>0</v>
      </c>
      <c r="AD43" s="467" t="b">
        <f t="shared" si="21"/>
        <v>0</v>
      </c>
      <c r="AE43" s="460" t="b">
        <f t="shared" si="7"/>
        <v>0</v>
      </c>
      <c r="AF43" s="257" t="b">
        <f t="shared" si="8"/>
        <v>0</v>
      </c>
      <c r="AG43" s="459">
        <f t="shared" si="9"/>
        <v>0</v>
      </c>
      <c r="AH43" s="460" t="b">
        <f t="shared" si="10"/>
        <v>0</v>
      </c>
      <c r="AI43" s="257" t="b">
        <f t="shared" si="11"/>
        <v>0</v>
      </c>
      <c r="AJ43" s="459">
        <f t="shared" si="12"/>
        <v>0</v>
      </c>
    </row>
    <row r="44" spans="1:36" x14ac:dyDescent="0.2">
      <c r="A44" s="494"/>
      <c r="B44" s="686"/>
      <c r="C44" s="687"/>
      <c r="D44" s="687"/>
      <c r="E44" s="686"/>
      <c r="F44" s="687"/>
      <c r="G44" s="687"/>
      <c r="H44" s="686"/>
      <c r="I44" s="687"/>
      <c r="J44" s="687"/>
      <c r="K44" s="687"/>
      <c r="L44" s="495"/>
      <c r="M44" s="164" t="str">
        <f t="shared" ca="1" si="0"/>
        <v/>
      </c>
      <c r="N44" s="161"/>
      <c r="O44" s="163" t="str">
        <f t="shared" ca="1" si="3"/>
        <v xml:space="preserve"> </v>
      </c>
      <c r="P44" s="168"/>
      <c r="Q44" s="629"/>
      <c r="R44" s="629"/>
      <c r="S44" s="629"/>
      <c r="T44" s="629"/>
      <c r="U44" s="178"/>
      <c r="V44" s="178">
        <f t="shared" ca="1" si="4"/>
        <v>0</v>
      </c>
      <c r="W44" s="178"/>
      <c r="X44" s="178">
        <f t="shared" si="5"/>
        <v>0</v>
      </c>
      <c r="Y44" s="166">
        <f t="shared" si="1"/>
        <v>0</v>
      </c>
      <c r="AA44" s="460">
        <f t="shared" si="6"/>
        <v>0</v>
      </c>
      <c r="AB44" s="257" t="b">
        <f t="shared" si="21"/>
        <v>0</v>
      </c>
      <c r="AC44" s="257" t="b">
        <f t="shared" si="21"/>
        <v>0</v>
      </c>
      <c r="AD44" s="467" t="b">
        <f t="shared" si="21"/>
        <v>0</v>
      </c>
      <c r="AE44" s="460" t="b">
        <f t="shared" si="7"/>
        <v>0</v>
      </c>
      <c r="AF44" s="257" t="b">
        <f t="shared" si="8"/>
        <v>0</v>
      </c>
      <c r="AG44" s="459">
        <f t="shared" si="9"/>
        <v>0</v>
      </c>
      <c r="AH44" s="460" t="b">
        <f t="shared" si="10"/>
        <v>0</v>
      </c>
      <c r="AI44" s="257" t="b">
        <f t="shared" si="11"/>
        <v>0</v>
      </c>
      <c r="AJ44" s="459">
        <f t="shared" si="12"/>
        <v>0</v>
      </c>
    </row>
    <row r="45" spans="1:36" x14ac:dyDescent="0.2">
      <c r="A45" s="494"/>
      <c r="B45" s="686"/>
      <c r="C45" s="687"/>
      <c r="D45" s="687"/>
      <c r="E45" s="686"/>
      <c r="F45" s="687"/>
      <c r="G45" s="687"/>
      <c r="H45" s="686"/>
      <c r="I45" s="687"/>
      <c r="J45" s="687"/>
      <c r="K45" s="687"/>
      <c r="L45" s="495"/>
      <c r="M45" s="164" t="str">
        <f t="shared" ca="1" si="0"/>
        <v/>
      </c>
      <c r="N45" s="161"/>
      <c r="O45" s="163" t="str">
        <f t="shared" ca="1" si="3"/>
        <v xml:space="preserve"> </v>
      </c>
      <c r="P45" s="168"/>
      <c r="Q45" s="629"/>
      <c r="R45" s="629"/>
      <c r="S45" s="629"/>
      <c r="T45" s="629"/>
      <c r="U45" s="178"/>
      <c r="V45" s="178">
        <f t="shared" ca="1" si="4"/>
        <v>0</v>
      </c>
      <c r="W45" s="178"/>
      <c r="X45" s="178">
        <f t="shared" si="5"/>
        <v>0</v>
      </c>
      <c r="Y45" s="166">
        <f t="shared" si="1"/>
        <v>0</v>
      </c>
      <c r="AA45" s="460">
        <f t="shared" si="6"/>
        <v>0</v>
      </c>
      <c r="AB45" s="257" t="b">
        <f t="shared" si="21"/>
        <v>0</v>
      </c>
      <c r="AC45" s="257" t="b">
        <f t="shared" si="21"/>
        <v>0</v>
      </c>
      <c r="AD45" s="467" t="b">
        <f t="shared" si="21"/>
        <v>0</v>
      </c>
      <c r="AE45" s="460" t="b">
        <f t="shared" si="7"/>
        <v>0</v>
      </c>
      <c r="AF45" s="257" t="b">
        <f t="shared" si="8"/>
        <v>0</v>
      </c>
      <c r="AG45" s="459">
        <f t="shared" si="9"/>
        <v>0</v>
      </c>
      <c r="AH45" s="460" t="b">
        <f t="shared" si="10"/>
        <v>0</v>
      </c>
      <c r="AI45" s="257" t="b">
        <f t="shared" si="11"/>
        <v>0</v>
      </c>
      <c r="AJ45" s="459">
        <f t="shared" si="12"/>
        <v>0</v>
      </c>
    </row>
    <row r="46" spans="1:36" x14ac:dyDescent="0.2">
      <c r="A46" s="494"/>
      <c r="B46" s="686"/>
      <c r="C46" s="687"/>
      <c r="D46" s="687"/>
      <c r="E46" s="686"/>
      <c r="F46" s="687"/>
      <c r="G46" s="687"/>
      <c r="H46" s="686"/>
      <c r="I46" s="687"/>
      <c r="J46" s="687"/>
      <c r="K46" s="687"/>
      <c r="L46" s="495"/>
      <c r="M46" s="164" t="str">
        <f t="shared" ca="1" si="0"/>
        <v/>
      </c>
      <c r="N46" s="161"/>
      <c r="O46" s="163" t="str">
        <f t="shared" ca="1" si="3"/>
        <v xml:space="preserve"> </v>
      </c>
      <c r="P46" s="168"/>
      <c r="Q46" s="629"/>
      <c r="R46" s="629"/>
      <c r="S46" s="629"/>
      <c r="T46" s="629"/>
      <c r="U46" s="178"/>
      <c r="V46" s="178">
        <f t="shared" ca="1" si="4"/>
        <v>0</v>
      </c>
      <c r="W46" s="178"/>
      <c r="X46" s="178">
        <f t="shared" si="5"/>
        <v>0</v>
      </c>
      <c r="Y46" s="166">
        <f t="shared" si="1"/>
        <v>0</v>
      </c>
      <c r="AA46" s="460">
        <f t="shared" si="6"/>
        <v>0</v>
      </c>
      <c r="AB46" s="257" t="b">
        <f t="shared" si="21"/>
        <v>0</v>
      </c>
      <c r="AC46" s="257" t="b">
        <f t="shared" si="21"/>
        <v>0</v>
      </c>
      <c r="AD46" s="467" t="b">
        <f t="shared" si="21"/>
        <v>0</v>
      </c>
      <c r="AE46" s="460" t="b">
        <f t="shared" si="7"/>
        <v>0</v>
      </c>
      <c r="AF46" s="257" t="b">
        <f t="shared" si="8"/>
        <v>0</v>
      </c>
      <c r="AG46" s="459">
        <f t="shared" si="9"/>
        <v>0</v>
      </c>
      <c r="AH46" s="460" t="b">
        <f t="shared" si="10"/>
        <v>0</v>
      </c>
      <c r="AI46" s="257" t="b">
        <f t="shared" si="11"/>
        <v>0</v>
      </c>
      <c r="AJ46" s="459">
        <f t="shared" si="12"/>
        <v>0</v>
      </c>
    </row>
    <row r="47" spans="1:36" x14ac:dyDescent="0.2">
      <c r="A47" s="494"/>
      <c r="B47" s="686"/>
      <c r="C47" s="687"/>
      <c r="D47" s="687"/>
      <c r="E47" s="686"/>
      <c r="F47" s="687"/>
      <c r="G47" s="687"/>
      <c r="H47" s="686"/>
      <c r="I47" s="687"/>
      <c r="J47" s="687"/>
      <c r="K47" s="687"/>
      <c r="L47" s="495"/>
      <c r="M47" s="164" t="str">
        <f t="shared" ca="1" si="0"/>
        <v/>
      </c>
      <c r="N47" s="161"/>
      <c r="O47" s="163" t="str">
        <f t="shared" ca="1" si="3"/>
        <v xml:space="preserve"> </v>
      </c>
      <c r="P47" s="168"/>
      <c r="Q47" s="629"/>
      <c r="R47" s="629"/>
      <c r="S47" s="629"/>
      <c r="T47" s="629"/>
      <c r="U47" s="178"/>
      <c r="V47" s="178">
        <f t="shared" ca="1" si="4"/>
        <v>0</v>
      </c>
      <c r="W47" s="178"/>
      <c r="X47" s="178">
        <f t="shared" si="5"/>
        <v>0</v>
      </c>
      <c r="Y47" s="166">
        <f t="shared" si="1"/>
        <v>0</v>
      </c>
      <c r="AA47" s="460">
        <f t="shared" si="6"/>
        <v>0</v>
      </c>
      <c r="AB47" s="257" t="b">
        <f t="shared" si="21"/>
        <v>0</v>
      </c>
      <c r="AC47" s="257" t="b">
        <f t="shared" si="21"/>
        <v>0</v>
      </c>
      <c r="AD47" s="467" t="b">
        <f t="shared" si="21"/>
        <v>0</v>
      </c>
      <c r="AE47" s="460" t="b">
        <f t="shared" si="7"/>
        <v>0</v>
      </c>
      <c r="AF47" s="257" t="b">
        <f t="shared" si="8"/>
        <v>0</v>
      </c>
      <c r="AG47" s="459">
        <f t="shared" si="9"/>
        <v>0</v>
      </c>
      <c r="AH47" s="460" t="b">
        <f t="shared" si="10"/>
        <v>0</v>
      </c>
      <c r="AI47" s="257" t="b">
        <f t="shared" si="11"/>
        <v>0</v>
      </c>
      <c r="AJ47" s="459">
        <f t="shared" si="12"/>
        <v>0</v>
      </c>
    </row>
    <row r="48" spans="1:36" x14ac:dyDescent="0.2">
      <c r="A48" s="494"/>
      <c r="B48" s="686"/>
      <c r="C48" s="687"/>
      <c r="D48" s="687"/>
      <c r="E48" s="686"/>
      <c r="F48" s="687"/>
      <c r="G48" s="687"/>
      <c r="H48" s="686"/>
      <c r="I48" s="687"/>
      <c r="J48" s="687"/>
      <c r="K48" s="687"/>
      <c r="L48" s="495"/>
      <c r="M48" s="164" t="str">
        <f t="shared" ca="1" si="0"/>
        <v/>
      </c>
      <c r="N48" s="161"/>
      <c r="O48" s="163" t="str">
        <f t="shared" ca="1" si="3"/>
        <v xml:space="preserve"> </v>
      </c>
      <c r="P48" s="168"/>
      <c r="Q48" s="629"/>
      <c r="R48" s="629"/>
      <c r="S48" s="629"/>
      <c r="T48" s="629"/>
      <c r="U48" s="178"/>
      <c r="V48" s="178">
        <f t="shared" ca="1" si="4"/>
        <v>0</v>
      </c>
      <c r="W48" s="178"/>
      <c r="X48" s="178">
        <f t="shared" si="5"/>
        <v>0</v>
      </c>
      <c r="Y48" s="166">
        <f t="shared" si="1"/>
        <v>0</v>
      </c>
      <c r="AA48" s="460">
        <f t="shared" si="6"/>
        <v>0</v>
      </c>
      <c r="AB48" s="257" t="b">
        <f t="shared" si="21"/>
        <v>0</v>
      </c>
      <c r="AC48" s="257" t="b">
        <f t="shared" si="21"/>
        <v>0</v>
      </c>
      <c r="AD48" s="467" t="b">
        <f t="shared" si="21"/>
        <v>0</v>
      </c>
      <c r="AE48" s="460" t="b">
        <f t="shared" si="7"/>
        <v>0</v>
      </c>
      <c r="AF48" s="257" t="b">
        <f t="shared" si="8"/>
        <v>0</v>
      </c>
      <c r="AG48" s="459">
        <f t="shared" si="9"/>
        <v>0</v>
      </c>
      <c r="AH48" s="460" t="b">
        <f t="shared" si="10"/>
        <v>0</v>
      </c>
      <c r="AI48" s="257" t="b">
        <f t="shared" si="11"/>
        <v>0</v>
      </c>
      <c r="AJ48" s="459">
        <f t="shared" si="12"/>
        <v>0</v>
      </c>
    </row>
    <row r="49" spans="1:36" x14ac:dyDescent="0.2">
      <c r="A49" s="494"/>
      <c r="B49" s="686"/>
      <c r="C49" s="687"/>
      <c r="D49" s="687"/>
      <c r="E49" s="686"/>
      <c r="F49" s="687"/>
      <c r="G49" s="687"/>
      <c r="H49" s="686"/>
      <c r="I49" s="687"/>
      <c r="J49" s="687"/>
      <c r="K49" s="687"/>
      <c r="L49" s="495"/>
      <c r="M49" s="164" t="str">
        <f t="shared" ca="1" si="0"/>
        <v/>
      </c>
      <c r="N49" s="161"/>
      <c r="O49" s="163" t="str">
        <f t="shared" ca="1" si="3"/>
        <v xml:space="preserve"> </v>
      </c>
      <c r="P49" s="168"/>
      <c r="Q49" s="629"/>
      <c r="R49" s="629"/>
      <c r="S49" s="629"/>
      <c r="T49" s="629"/>
      <c r="U49" s="178"/>
      <c r="V49" s="178">
        <f t="shared" ca="1" si="4"/>
        <v>0</v>
      </c>
      <c r="W49" s="178"/>
      <c r="X49" s="178">
        <f t="shared" si="5"/>
        <v>0</v>
      </c>
      <c r="Y49" s="166">
        <f t="shared" si="1"/>
        <v>0</v>
      </c>
      <c r="AA49" s="460">
        <f t="shared" si="6"/>
        <v>0</v>
      </c>
      <c r="AB49" s="257" t="b">
        <f t="shared" si="21"/>
        <v>0</v>
      </c>
      <c r="AC49" s="257" t="b">
        <f t="shared" si="21"/>
        <v>0</v>
      </c>
      <c r="AD49" s="467" t="b">
        <f t="shared" si="21"/>
        <v>0</v>
      </c>
      <c r="AE49" s="460" t="b">
        <f t="shared" si="7"/>
        <v>0</v>
      </c>
      <c r="AF49" s="257" t="b">
        <f t="shared" si="8"/>
        <v>0</v>
      </c>
      <c r="AG49" s="459">
        <f t="shared" si="9"/>
        <v>0</v>
      </c>
      <c r="AH49" s="460" t="b">
        <f t="shared" si="10"/>
        <v>0</v>
      </c>
      <c r="AI49" s="257" t="b">
        <f t="shared" si="11"/>
        <v>0</v>
      </c>
      <c r="AJ49" s="459">
        <f t="shared" si="12"/>
        <v>0</v>
      </c>
    </row>
    <row r="50" spans="1:36" x14ac:dyDescent="0.2">
      <c r="A50" s="494"/>
      <c r="B50" s="686"/>
      <c r="C50" s="687"/>
      <c r="D50" s="687"/>
      <c r="E50" s="686"/>
      <c r="F50" s="687"/>
      <c r="G50" s="687"/>
      <c r="H50" s="686"/>
      <c r="I50" s="687"/>
      <c r="J50" s="687"/>
      <c r="K50" s="687"/>
      <c r="L50" s="495"/>
      <c r="M50" s="164" t="str">
        <f t="shared" ca="1" si="0"/>
        <v/>
      </c>
      <c r="N50" s="161"/>
      <c r="O50" s="163" t="str">
        <f t="shared" ca="1" si="3"/>
        <v xml:space="preserve"> </v>
      </c>
      <c r="P50" s="168"/>
      <c r="Q50" s="629"/>
      <c r="R50" s="629"/>
      <c r="S50" s="629"/>
      <c r="T50" s="629"/>
      <c r="U50" s="178"/>
      <c r="V50" s="178">
        <f t="shared" ca="1" si="4"/>
        <v>0</v>
      </c>
      <c r="W50" s="178"/>
      <c r="X50" s="178">
        <f t="shared" si="5"/>
        <v>0</v>
      </c>
      <c r="Y50" s="166">
        <f t="shared" si="1"/>
        <v>0</v>
      </c>
      <c r="AA50" s="460">
        <f t="shared" si="6"/>
        <v>0</v>
      </c>
      <c r="AB50" s="257" t="b">
        <f t="shared" si="21"/>
        <v>0</v>
      </c>
      <c r="AC50" s="257" t="b">
        <f t="shared" si="21"/>
        <v>0</v>
      </c>
      <c r="AD50" s="467" t="b">
        <f t="shared" si="21"/>
        <v>0</v>
      </c>
      <c r="AE50" s="460" t="b">
        <f t="shared" si="7"/>
        <v>0</v>
      </c>
      <c r="AF50" s="257" t="b">
        <f t="shared" si="8"/>
        <v>0</v>
      </c>
      <c r="AG50" s="459">
        <f t="shared" si="9"/>
        <v>0</v>
      </c>
      <c r="AH50" s="460" t="b">
        <f t="shared" si="10"/>
        <v>0</v>
      </c>
      <c r="AI50" s="257" t="b">
        <f t="shared" si="11"/>
        <v>0</v>
      </c>
      <c r="AJ50" s="459">
        <f t="shared" si="12"/>
        <v>0</v>
      </c>
    </row>
    <row r="51" spans="1:36" x14ac:dyDescent="0.2">
      <c r="A51" s="494"/>
      <c r="B51" s="686"/>
      <c r="C51" s="687"/>
      <c r="D51" s="687"/>
      <c r="E51" s="686"/>
      <c r="F51" s="687"/>
      <c r="G51" s="687"/>
      <c r="H51" s="686"/>
      <c r="I51" s="687"/>
      <c r="J51" s="687"/>
      <c r="K51" s="687"/>
      <c r="L51" s="495"/>
      <c r="M51" s="164" t="str">
        <f t="shared" ca="1" si="0"/>
        <v/>
      </c>
      <c r="N51" s="161"/>
      <c r="O51" s="163" t="str">
        <f t="shared" ca="1" si="3"/>
        <v xml:space="preserve"> </v>
      </c>
      <c r="P51" s="168"/>
      <c r="Q51" s="629"/>
      <c r="R51" s="629"/>
      <c r="S51" s="629"/>
      <c r="T51" s="629"/>
      <c r="U51" s="178"/>
      <c r="V51" s="178">
        <f t="shared" ca="1" si="4"/>
        <v>0</v>
      </c>
      <c r="W51" s="178"/>
      <c r="X51" s="178">
        <f t="shared" si="5"/>
        <v>0</v>
      </c>
      <c r="Y51" s="166">
        <f t="shared" si="1"/>
        <v>0</v>
      </c>
      <c r="AA51" s="460">
        <f t="shared" si="6"/>
        <v>0</v>
      </c>
      <c r="AB51" s="257" t="b">
        <f t="shared" si="21"/>
        <v>0</v>
      </c>
      <c r="AC51" s="257" t="b">
        <f t="shared" si="21"/>
        <v>0</v>
      </c>
      <c r="AD51" s="467" t="b">
        <f t="shared" si="21"/>
        <v>0</v>
      </c>
      <c r="AE51" s="460" t="b">
        <f t="shared" si="7"/>
        <v>0</v>
      </c>
      <c r="AF51" s="257" t="b">
        <f t="shared" si="8"/>
        <v>0</v>
      </c>
      <c r="AG51" s="459">
        <f t="shared" si="9"/>
        <v>0</v>
      </c>
      <c r="AH51" s="460" t="b">
        <f t="shared" si="10"/>
        <v>0</v>
      </c>
      <c r="AI51" s="257" t="b">
        <f t="shared" si="11"/>
        <v>0</v>
      </c>
      <c r="AJ51" s="459">
        <f t="shared" si="12"/>
        <v>0</v>
      </c>
    </row>
    <row r="52" spans="1:36" x14ac:dyDescent="0.2">
      <c r="A52" s="494"/>
      <c r="B52" s="686"/>
      <c r="C52" s="687"/>
      <c r="D52" s="687"/>
      <c r="E52" s="686"/>
      <c r="F52" s="687"/>
      <c r="G52" s="687"/>
      <c r="H52" s="686"/>
      <c r="I52" s="687"/>
      <c r="J52" s="687"/>
      <c r="K52" s="687"/>
      <c r="L52" s="495"/>
      <c r="M52" s="164" t="str">
        <f t="shared" ca="1" si="0"/>
        <v/>
      </c>
      <c r="N52" s="161"/>
      <c r="O52" s="163" t="str">
        <f t="shared" ca="1" si="3"/>
        <v xml:space="preserve"> </v>
      </c>
      <c r="P52" s="168"/>
      <c r="Q52" s="629"/>
      <c r="R52" s="629"/>
      <c r="S52" s="629"/>
      <c r="T52" s="629"/>
      <c r="U52" s="178"/>
      <c r="V52" s="178">
        <f t="shared" ca="1" si="4"/>
        <v>0</v>
      </c>
      <c r="W52" s="178"/>
      <c r="X52" s="178">
        <f t="shared" si="5"/>
        <v>0</v>
      </c>
      <c r="Y52" s="166">
        <f t="shared" si="1"/>
        <v>0</v>
      </c>
      <c r="AA52" s="460">
        <f t="shared" si="6"/>
        <v>0</v>
      </c>
      <c r="AB52" s="257" t="b">
        <f t="shared" si="21"/>
        <v>0</v>
      </c>
      <c r="AC52" s="257" t="b">
        <f t="shared" si="21"/>
        <v>0</v>
      </c>
      <c r="AD52" s="467" t="b">
        <f t="shared" si="21"/>
        <v>0</v>
      </c>
      <c r="AE52" s="460" t="b">
        <f t="shared" si="7"/>
        <v>0</v>
      </c>
      <c r="AF52" s="257" t="b">
        <f t="shared" si="8"/>
        <v>0</v>
      </c>
      <c r="AG52" s="459">
        <f t="shared" si="9"/>
        <v>0</v>
      </c>
      <c r="AH52" s="460" t="b">
        <f t="shared" si="10"/>
        <v>0</v>
      </c>
      <c r="AI52" s="257" t="b">
        <f t="shared" si="11"/>
        <v>0</v>
      </c>
      <c r="AJ52" s="459">
        <f t="shared" si="12"/>
        <v>0</v>
      </c>
    </row>
    <row r="53" spans="1:36" x14ac:dyDescent="0.2">
      <c r="A53" s="494"/>
      <c r="B53" s="686"/>
      <c r="C53" s="687"/>
      <c r="D53" s="687"/>
      <c r="E53" s="686"/>
      <c r="F53" s="687"/>
      <c r="G53" s="687"/>
      <c r="H53" s="686"/>
      <c r="I53" s="687"/>
      <c r="J53" s="687"/>
      <c r="K53" s="687"/>
      <c r="L53" s="495"/>
      <c r="M53" s="164" t="str">
        <f t="shared" ca="1" si="0"/>
        <v/>
      </c>
      <c r="N53" s="161"/>
      <c r="O53" s="163" t="str">
        <f t="shared" ca="1" si="3"/>
        <v xml:space="preserve"> </v>
      </c>
      <c r="P53" s="168"/>
      <c r="Q53" s="629"/>
      <c r="R53" s="629"/>
      <c r="S53" s="629"/>
      <c r="T53" s="629"/>
      <c r="U53" s="178"/>
      <c r="V53" s="178">
        <f t="shared" ca="1" si="4"/>
        <v>0</v>
      </c>
      <c r="W53" s="178"/>
      <c r="X53" s="178">
        <f t="shared" si="5"/>
        <v>0</v>
      </c>
      <c r="Y53" s="166">
        <f t="shared" si="1"/>
        <v>0</v>
      </c>
      <c r="AA53" s="460">
        <f t="shared" si="6"/>
        <v>0</v>
      </c>
      <c r="AB53" s="257" t="b">
        <f t="shared" si="21"/>
        <v>0</v>
      </c>
      <c r="AC53" s="257" t="b">
        <f t="shared" si="21"/>
        <v>0</v>
      </c>
      <c r="AD53" s="467" t="b">
        <f t="shared" si="21"/>
        <v>0</v>
      </c>
      <c r="AE53" s="460" t="b">
        <f t="shared" si="7"/>
        <v>0</v>
      </c>
      <c r="AF53" s="257" t="b">
        <f t="shared" si="8"/>
        <v>0</v>
      </c>
      <c r="AG53" s="459">
        <f t="shared" si="9"/>
        <v>0</v>
      </c>
      <c r="AH53" s="460" t="b">
        <f t="shared" si="10"/>
        <v>0</v>
      </c>
      <c r="AI53" s="257" t="b">
        <f t="shared" si="11"/>
        <v>0</v>
      </c>
      <c r="AJ53" s="459">
        <f t="shared" si="12"/>
        <v>0</v>
      </c>
    </row>
    <row r="54" spans="1:36" x14ac:dyDescent="0.2">
      <c r="A54" s="494"/>
      <c r="B54" s="686"/>
      <c r="C54" s="687"/>
      <c r="D54" s="687"/>
      <c r="E54" s="686"/>
      <c r="F54" s="687"/>
      <c r="G54" s="687"/>
      <c r="H54" s="686"/>
      <c r="I54" s="687"/>
      <c r="J54" s="687"/>
      <c r="K54" s="687"/>
      <c r="L54" s="495"/>
      <c r="M54" s="164" t="str">
        <f t="shared" ca="1" si="0"/>
        <v/>
      </c>
      <c r="N54" s="161"/>
      <c r="O54" s="163" t="str">
        <f t="shared" ca="1" si="3"/>
        <v xml:space="preserve"> </v>
      </c>
      <c r="P54" s="168"/>
      <c r="Q54" s="629"/>
      <c r="R54" s="629"/>
      <c r="S54" s="629"/>
      <c r="T54" s="629"/>
      <c r="U54" s="178"/>
      <c r="V54" s="178">
        <f t="shared" ca="1" si="4"/>
        <v>0</v>
      </c>
      <c r="W54" s="178"/>
      <c r="X54" s="178">
        <f t="shared" si="5"/>
        <v>0</v>
      </c>
      <c r="Y54" s="166">
        <f t="shared" si="1"/>
        <v>0</v>
      </c>
      <c r="AA54" s="460">
        <f t="shared" si="6"/>
        <v>0</v>
      </c>
      <c r="AB54" s="257" t="b">
        <f t="shared" si="21"/>
        <v>0</v>
      </c>
      <c r="AC54" s="257" t="b">
        <f t="shared" si="21"/>
        <v>0</v>
      </c>
      <c r="AD54" s="467" t="b">
        <f t="shared" si="21"/>
        <v>0</v>
      </c>
      <c r="AE54" s="460" t="b">
        <f t="shared" si="7"/>
        <v>0</v>
      </c>
      <c r="AF54" s="257" t="b">
        <f t="shared" si="8"/>
        <v>0</v>
      </c>
      <c r="AG54" s="459">
        <f t="shared" si="9"/>
        <v>0</v>
      </c>
      <c r="AH54" s="460" t="b">
        <f t="shared" si="10"/>
        <v>0</v>
      </c>
      <c r="AI54" s="257" t="b">
        <f t="shared" si="11"/>
        <v>0</v>
      </c>
      <c r="AJ54" s="459">
        <f t="shared" si="12"/>
        <v>0</v>
      </c>
    </row>
    <row r="55" spans="1:36" x14ac:dyDescent="0.2">
      <c r="A55" s="494"/>
      <c r="B55" s="686"/>
      <c r="C55" s="687"/>
      <c r="D55" s="687"/>
      <c r="E55" s="686"/>
      <c r="F55" s="687"/>
      <c r="G55" s="687"/>
      <c r="H55" s="686"/>
      <c r="I55" s="687"/>
      <c r="J55" s="687"/>
      <c r="K55" s="687"/>
      <c r="L55" s="495"/>
      <c r="M55" s="164" t="str">
        <f t="shared" ca="1" si="0"/>
        <v/>
      </c>
      <c r="N55" s="161"/>
      <c r="O55" s="163" t="str">
        <f t="shared" ca="1" si="3"/>
        <v xml:space="preserve"> </v>
      </c>
      <c r="P55" s="168"/>
      <c r="Q55" s="629"/>
      <c r="R55" s="629"/>
      <c r="S55" s="629"/>
      <c r="T55" s="629"/>
      <c r="U55" s="178"/>
      <c r="V55" s="178">
        <f t="shared" ca="1" si="4"/>
        <v>0</v>
      </c>
      <c r="W55" s="178"/>
      <c r="X55" s="178">
        <f t="shared" si="5"/>
        <v>0</v>
      </c>
      <c r="Y55" s="166">
        <f t="shared" si="1"/>
        <v>0</v>
      </c>
      <c r="AA55" s="460">
        <f t="shared" si="6"/>
        <v>0</v>
      </c>
      <c r="AB55" s="257" t="b">
        <f t="shared" si="21"/>
        <v>0</v>
      </c>
      <c r="AC55" s="257" t="b">
        <f t="shared" si="21"/>
        <v>0</v>
      </c>
      <c r="AD55" s="467" t="b">
        <f t="shared" si="21"/>
        <v>0</v>
      </c>
      <c r="AE55" s="460" t="b">
        <f t="shared" si="7"/>
        <v>0</v>
      </c>
      <c r="AF55" s="257" t="b">
        <f t="shared" si="8"/>
        <v>0</v>
      </c>
      <c r="AG55" s="459">
        <f t="shared" si="9"/>
        <v>0</v>
      </c>
      <c r="AH55" s="460" t="b">
        <f t="shared" si="10"/>
        <v>0</v>
      </c>
      <c r="AI55" s="257" t="b">
        <f t="shared" si="11"/>
        <v>0</v>
      </c>
      <c r="AJ55" s="459">
        <f t="shared" si="12"/>
        <v>0</v>
      </c>
    </row>
    <row r="56" spans="1:36" x14ac:dyDescent="0.2">
      <c r="A56" s="494"/>
      <c r="B56" s="686"/>
      <c r="C56" s="687"/>
      <c r="D56" s="687"/>
      <c r="E56" s="686"/>
      <c r="F56" s="687"/>
      <c r="G56" s="687"/>
      <c r="H56" s="686"/>
      <c r="I56" s="687"/>
      <c r="J56" s="687"/>
      <c r="K56" s="687"/>
      <c r="L56" s="495"/>
      <c r="M56" s="164" t="str">
        <f t="shared" ca="1" si="0"/>
        <v/>
      </c>
      <c r="N56" s="161"/>
      <c r="O56" s="163" t="str">
        <f t="shared" ca="1" si="3"/>
        <v xml:space="preserve"> </v>
      </c>
      <c r="P56" s="168"/>
      <c r="Q56" s="629"/>
      <c r="R56" s="629"/>
      <c r="S56" s="629"/>
      <c r="T56" s="629"/>
      <c r="U56" s="178"/>
      <c r="V56" s="178">
        <f t="shared" ca="1" si="4"/>
        <v>0</v>
      </c>
      <c r="W56" s="178"/>
      <c r="X56" s="178">
        <f t="shared" si="5"/>
        <v>0</v>
      </c>
      <c r="Y56" s="166">
        <f t="shared" si="1"/>
        <v>0</v>
      </c>
      <c r="AA56" s="460">
        <f t="shared" si="6"/>
        <v>0</v>
      </c>
      <c r="AB56" s="257" t="b">
        <f t="shared" si="21"/>
        <v>0</v>
      </c>
      <c r="AC56" s="257" t="b">
        <f t="shared" si="21"/>
        <v>0</v>
      </c>
      <c r="AD56" s="467" t="b">
        <f t="shared" si="21"/>
        <v>0</v>
      </c>
      <c r="AE56" s="460" t="b">
        <f t="shared" si="7"/>
        <v>0</v>
      </c>
      <c r="AF56" s="257" t="b">
        <f t="shared" si="8"/>
        <v>0</v>
      </c>
      <c r="AG56" s="459">
        <f t="shared" si="9"/>
        <v>0</v>
      </c>
      <c r="AH56" s="460" t="b">
        <f t="shared" si="10"/>
        <v>0</v>
      </c>
      <c r="AI56" s="257" t="b">
        <f t="shared" si="11"/>
        <v>0</v>
      </c>
      <c r="AJ56" s="459">
        <f t="shared" si="12"/>
        <v>0</v>
      </c>
    </row>
    <row r="57" spans="1:36" x14ac:dyDescent="0.2">
      <c r="A57" s="494"/>
      <c r="B57" s="686"/>
      <c r="C57" s="687"/>
      <c r="D57" s="687"/>
      <c r="E57" s="686"/>
      <c r="F57" s="687"/>
      <c r="G57" s="687"/>
      <c r="H57" s="686"/>
      <c r="I57" s="687"/>
      <c r="J57" s="687"/>
      <c r="K57" s="687"/>
      <c r="L57" s="495"/>
      <c r="M57" s="164" t="str">
        <f t="shared" ca="1" si="0"/>
        <v/>
      </c>
      <c r="N57" s="161"/>
      <c r="O57" s="163" t="str">
        <f t="shared" ca="1" si="3"/>
        <v xml:space="preserve"> </v>
      </c>
      <c r="P57" s="168"/>
      <c r="Q57" s="629"/>
      <c r="R57" s="629"/>
      <c r="S57" s="629"/>
      <c r="T57" s="629"/>
      <c r="U57" s="178"/>
      <c r="V57" s="178">
        <f t="shared" ca="1" si="4"/>
        <v>0</v>
      </c>
      <c r="W57" s="178"/>
      <c r="X57" s="178">
        <f t="shared" si="5"/>
        <v>0</v>
      </c>
      <c r="Y57" s="166">
        <f t="shared" si="1"/>
        <v>0</v>
      </c>
      <c r="AA57" s="461">
        <f t="shared" si="6"/>
        <v>0</v>
      </c>
      <c r="AB57" s="462" t="b">
        <f t="shared" si="21"/>
        <v>0</v>
      </c>
      <c r="AC57" s="462" t="b">
        <f t="shared" si="21"/>
        <v>0</v>
      </c>
      <c r="AD57" s="468" t="b">
        <f t="shared" si="21"/>
        <v>0</v>
      </c>
      <c r="AE57" s="461" t="b">
        <f t="shared" si="7"/>
        <v>0</v>
      </c>
      <c r="AF57" s="462" t="b">
        <f>SUMPRODUCT(--ISNUMBER(SEARCH(AE$15,$E57:$K57)))&gt;0</f>
        <v>0</v>
      </c>
      <c r="AG57" s="463">
        <f t="shared" si="9"/>
        <v>0</v>
      </c>
      <c r="AH57" s="461" t="b">
        <f t="shared" si="10"/>
        <v>0</v>
      </c>
      <c r="AI57" s="462" t="b">
        <f t="shared" si="11"/>
        <v>0</v>
      </c>
      <c r="AJ57" s="463">
        <f t="shared" si="12"/>
        <v>0</v>
      </c>
    </row>
    <row r="58" spans="1:36" ht="13.5" thickBot="1" x14ac:dyDescent="0.25">
      <c r="A58" s="65"/>
      <c r="K58" s="5" t="s">
        <v>51</v>
      </c>
      <c r="L58" s="47" t="str">
        <f>IF(L60&gt;3,SUM(L16:L57)-V58,"Please fill in yellow")</f>
        <v>Please fill in yellow</v>
      </c>
      <c r="M58" s="54"/>
      <c r="N58" s="154">
        <f>COUNTIF(N17:N57,"x")</f>
        <v>0</v>
      </c>
      <c r="P58" s="106"/>
      <c r="Q58" s="696"/>
      <c r="R58" s="696"/>
      <c r="S58" s="696"/>
      <c r="T58" s="696"/>
      <c r="U58" s="179">
        <f>SUM(U17:U57)+X58</f>
        <v>0</v>
      </c>
      <c r="V58" s="163">
        <f ca="1">SUM(V17:V57)</f>
        <v>0</v>
      </c>
      <c r="W58" s="163">
        <f>COUNTA(W17:W57)</f>
        <v>0</v>
      </c>
      <c r="X58" s="163">
        <f>SUM(X17:X57)</f>
        <v>0</v>
      </c>
      <c r="Y58" s="206">
        <f>SUM(Y17:Y57)</f>
        <v>0</v>
      </c>
      <c r="AA58" s="476">
        <f>SUM(AA17:AA57)</f>
        <v>0</v>
      </c>
      <c r="AJ58" s="472">
        <f>SUM(AJ17:AJ57)</f>
        <v>0</v>
      </c>
    </row>
    <row r="59" spans="1:36" ht="13.5" customHeight="1" thickTop="1" x14ac:dyDescent="0.2">
      <c r="A59" s="675" t="str">
        <f>IF(L59&gt;0,"DON’T FORGET TO ATTACH YOUR RECEIPT DOCUMENTATION TO THE EMAIL","")</f>
        <v/>
      </c>
      <c r="B59" s="675"/>
      <c r="C59" s="675"/>
      <c r="D59" s="675"/>
      <c r="E59" s="675"/>
      <c r="F59" s="675" t="str">
        <f>IF(AJ58&gt;0,"Please provide name of donor/student.","")</f>
        <v/>
      </c>
      <c r="G59" s="675"/>
      <c r="H59" s="675"/>
      <c r="K59" s="396" t="s">
        <v>1652</v>
      </c>
      <c r="L59" s="158">
        <f>IF(FundCode&lt;&gt;500,COUNT(L12:L53),IF(L60&gt;3,SUM(O16:O57),0))</f>
        <v>0</v>
      </c>
      <c r="M59" s="54"/>
      <c r="N59" s="54"/>
    </row>
    <row r="60" spans="1:36" ht="12.75" customHeight="1" x14ac:dyDescent="0.2">
      <c r="A60" s="675"/>
      <c r="B60" s="675"/>
      <c r="C60" s="675"/>
      <c r="D60" s="675"/>
      <c r="E60" s="675"/>
      <c r="F60" s="675"/>
      <c r="G60" s="675"/>
      <c r="H60" s="675"/>
      <c r="L60" s="224">
        <f>Summary!O12</f>
        <v>1</v>
      </c>
    </row>
    <row r="61" spans="1:36" ht="12.75" customHeight="1" x14ac:dyDescent="0.2">
      <c r="A61" s="675"/>
      <c r="B61" s="675"/>
      <c r="C61" s="675"/>
      <c r="D61" s="675"/>
      <c r="E61" s="675"/>
      <c r="F61" s="675"/>
      <c r="G61" s="675"/>
      <c r="H61" s="675"/>
      <c r="K61" s="11" t="s">
        <v>44</v>
      </c>
      <c r="L61" s="45" t="str">
        <f>IF(L60&gt;3,L58+U58,"spaces on summary page")</f>
        <v>spaces on summary page</v>
      </c>
      <c r="M61" s="54"/>
      <c r="N61" s="54"/>
    </row>
    <row r="62" spans="1:36" ht="12.75" customHeight="1" x14ac:dyDescent="0.2">
      <c r="A62" s="675"/>
      <c r="B62" s="675"/>
      <c r="C62" s="675"/>
      <c r="D62" s="675"/>
      <c r="E62" s="675"/>
      <c r="F62" s="675"/>
      <c r="G62" s="675"/>
      <c r="H62" s="675"/>
    </row>
  </sheetData>
  <sheetProtection algorithmName="SHA-512" hashValue="nRD8X3cBAVhZ15I1JnknkRNFTHAUvwiUanRT+nh77XEis8atJf5uC8W/XsEIhpASluR55vnqXUNqiNeGQ17ajw==" saltValue="ZjNsaQT2Nd1R395VjqvrDw==" spinCount="100000" sheet="1" objects="1" scenarios="1"/>
  <mergeCells count="199">
    <mergeCell ref="W14:W15"/>
    <mergeCell ref="X14:X15"/>
    <mergeCell ref="H52:K52"/>
    <mergeCell ref="B53:D53"/>
    <mergeCell ref="E53:G53"/>
    <mergeCell ref="H53:K53"/>
    <mergeCell ref="B46:D46"/>
    <mergeCell ref="E46:G46"/>
    <mergeCell ref="H46:K46"/>
    <mergeCell ref="B47:D47"/>
    <mergeCell ref="B49:D49"/>
    <mergeCell ref="E49:G49"/>
    <mergeCell ref="H49:K49"/>
    <mergeCell ref="E47:G47"/>
    <mergeCell ref="H47:K47"/>
    <mergeCell ref="B42:D42"/>
    <mergeCell ref="E42:G42"/>
    <mergeCell ref="H42:K42"/>
    <mergeCell ref="B43:D43"/>
    <mergeCell ref="E43:G43"/>
    <mergeCell ref="B45:D45"/>
    <mergeCell ref="E45:G45"/>
    <mergeCell ref="H45:K45"/>
    <mergeCell ref="B48:D48"/>
    <mergeCell ref="E48:G48"/>
    <mergeCell ref="H48:K48"/>
    <mergeCell ref="B51:D51"/>
    <mergeCell ref="E51:G51"/>
    <mergeCell ref="B56:D56"/>
    <mergeCell ref="E56:G56"/>
    <mergeCell ref="H56:K56"/>
    <mergeCell ref="H51:K51"/>
    <mergeCell ref="B52:D52"/>
    <mergeCell ref="E52:G52"/>
    <mergeCell ref="B50:D50"/>
    <mergeCell ref="E50:G50"/>
    <mergeCell ref="H50:K50"/>
    <mergeCell ref="A59:E62"/>
    <mergeCell ref="F59:H62"/>
    <mergeCell ref="H43:K43"/>
    <mergeCell ref="B44:D44"/>
    <mergeCell ref="E44:G44"/>
    <mergeCell ref="H44:K44"/>
    <mergeCell ref="B39:D39"/>
    <mergeCell ref="E39:G39"/>
    <mergeCell ref="H39:K39"/>
    <mergeCell ref="B40:D40"/>
    <mergeCell ref="E40:G40"/>
    <mergeCell ref="H40:K40"/>
    <mergeCell ref="B41:D41"/>
    <mergeCell ref="E41:G41"/>
    <mergeCell ref="H41:K41"/>
    <mergeCell ref="B57:D57"/>
    <mergeCell ref="E57:G57"/>
    <mergeCell ref="H57:K57"/>
    <mergeCell ref="E54:G54"/>
    <mergeCell ref="H54:K54"/>
    <mergeCell ref="B54:D54"/>
    <mergeCell ref="B55:D55"/>
    <mergeCell ref="E55:G55"/>
    <mergeCell ref="H55:K55"/>
    <mergeCell ref="B37:D37"/>
    <mergeCell ref="E37:G37"/>
    <mergeCell ref="H37:K37"/>
    <mergeCell ref="B38:D38"/>
    <mergeCell ref="E38:G38"/>
    <mergeCell ref="H38:K38"/>
    <mergeCell ref="B19:D19"/>
    <mergeCell ref="E19:G19"/>
    <mergeCell ref="H19:K19"/>
    <mergeCell ref="B20:D20"/>
    <mergeCell ref="B34:D34"/>
    <mergeCell ref="E34:G34"/>
    <mergeCell ref="H34:K34"/>
    <mergeCell ref="B35:D35"/>
    <mergeCell ref="E35:G35"/>
    <mergeCell ref="H35:K35"/>
    <mergeCell ref="B36:D36"/>
    <mergeCell ref="E36:G36"/>
    <mergeCell ref="H36:K36"/>
    <mergeCell ref="B32:D32"/>
    <mergeCell ref="E32:G32"/>
    <mergeCell ref="H32:K32"/>
    <mergeCell ref="E30:G30"/>
    <mergeCell ref="H30:K30"/>
    <mergeCell ref="Y14:Y15"/>
    <mergeCell ref="Q56:T56"/>
    <mergeCell ref="Q48:T48"/>
    <mergeCell ref="Q49:T49"/>
    <mergeCell ref="Q50:T50"/>
    <mergeCell ref="Q41:T41"/>
    <mergeCell ref="B17:D17"/>
    <mergeCell ref="E17:G17"/>
    <mergeCell ref="H17:K17"/>
    <mergeCell ref="B18:D18"/>
    <mergeCell ref="E18:G18"/>
    <mergeCell ref="H18:K18"/>
    <mergeCell ref="B14:D14"/>
    <mergeCell ref="E15:G15"/>
    <mergeCell ref="H15:K15"/>
    <mergeCell ref="H14:K14"/>
    <mergeCell ref="B16:D16"/>
    <mergeCell ref="E16:G16"/>
    <mergeCell ref="H16:K16"/>
    <mergeCell ref="B15:D15"/>
    <mergeCell ref="Q44:T44"/>
    <mergeCell ref="Q45:T45"/>
    <mergeCell ref="Q20:T20"/>
    <mergeCell ref="Q37:T37"/>
    <mergeCell ref="Q39:T39"/>
    <mergeCell ref="Q57:T57"/>
    <mergeCell ref="Q58:T58"/>
    <mergeCell ref="V14:V15"/>
    <mergeCell ref="Q51:T51"/>
    <mergeCell ref="Q52:T52"/>
    <mergeCell ref="Q53:T53"/>
    <mergeCell ref="Q54:T54"/>
    <mergeCell ref="Q55:T55"/>
    <mergeCell ref="Q46:T46"/>
    <mergeCell ref="Q47:T47"/>
    <mergeCell ref="Q40:T40"/>
    <mergeCell ref="U14:U15"/>
    <mergeCell ref="Q15:T15"/>
    <mergeCell ref="Q17:T17"/>
    <mergeCell ref="Q18:T18"/>
    <mergeCell ref="Q19:T19"/>
    <mergeCell ref="Q42:T42"/>
    <mergeCell ref="Q43:T43"/>
    <mergeCell ref="P14:T14"/>
    <mergeCell ref="Q38:T38"/>
    <mergeCell ref="Q34:T34"/>
    <mergeCell ref="Q35:T35"/>
    <mergeCell ref="Q36:T36"/>
    <mergeCell ref="A1:E1"/>
    <mergeCell ref="A2:E2"/>
    <mergeCell ref="B25:D25"/>
    <mergeCell ref="E25:G25"/>
    <mergeCell ref="H25:K25"/>
    <mergeCell ref="Q25:T25"/>
    <mergeCell ref="B21:D21"/>
    <mergeCell ref="E21:G21"/>
    <mergeCell ref="H21:K21"/>
    <mergeCell ref="Q21:T21"/>
    <mergeCell ref="B22:D22"/>
    <mergeCell ref="E22:G22"/>
    <mergeCell ref="H22:K22"/>
    <mergeCell ref="Q22:T22"/>
    <mergeCell ref="B23:D23"/>
    <mergeCell ref="E23:G23"/>
    <mergeCell ref="H23:K23"/>
    <mergeCell ref="Q23:T23"/>
    <mergeCell ref="B24:D24"/>
    <mergeCell ref="E24:G24"/>
    <mergeCell ref="H24:K24"/>
    <mergeCell ref="G7:I7"/>
    <mergeCell ref="G8:I8"/>
    <mergeCell ref="G9:I9"/>
    <mergeCell ref="Q30:T30"/>
    <mergeCell ref="B31:D31"/>
    <mergeCell ref="E31:G31"/>
    <mergeCell ref="H31:K31"/>
    <mergeCell ref="Q31:T31"/>
    <mergeCell ref="A7:E7"/>
    <mergeCell ref="A8:E12"/>
    <mergeCell ref="G10:I10"/>
    <mergeCell ref="G11:I11"/>
    <mergeCell ref="G12:I12"/>
    <mergeCell ref="J7:L7"/>
    <mergeCell ref="J8:L8"/>
    <mergeCell ref="J9:L9"/>
    <mergeCell ref="J10:L10"/>
    <mergeCell ref="J11:L11"/>
    <mergeCell ref="J12:L12"/>
    <mergeCell ref="E20:G20"/>
    <mergeCell ref="H20:K20"/>
    <mergeCell ref="AE15:AF15"/>
    <mergeCell ref="Q32:T32"/>
    <mergeCell ref="B33:D33"/>
    <mergeCell ref="E33:G33"/>
    <mergeCell ref="H33:K33"/>
    <mergeCell ref="Q33:T33"/>
    <mergeCell ref="B26:D26"/>
    <mergeCell ref="E26:G26"/>
    <mergeCell ref="H26:K26"/>
    <mergeCell ref="Q26:T26"/>
    <mergeCell ref="B27:D27"/>
    <mergeCell ref="E27:G27"/>
    <mergeCell ref="H27:K27"/>
    <mergeCell ref="Q27:T27"/>
    <mergeCell ref="B28:D28"/>
    <mergeCell ref="E28:G28"/>
    <mergeCell ref="H28:K28"/>
    <mergeCell ref="Q28:T28"/>
    <mergeCell ref="B29:D29"/>
    <mergeCell ref="E29:G29"/>
    <mergeCell ref="H29:K29"/>
    <mergeCell ref="Q29:T29"/>
    <mergeCell ref="Q24:T24"/>
    <mergeCell ref="B30:D30"/>
  </mergeCells>
  <phoneticPr fontId="0" type="noConversion"/>
  <conditionalFormatting sqref="L58:L59 L61">
    <cfRule type="expression" dxfId="217" priority="351">
      <formula>$L$58&lt;4</formula>
    </cfRule>
  </conditionalFormatting>
  <conditionalFormatting sqref="L58:L59 L61">
    <cfRule type="expression" dxfId="216" priority="350">
      <formula>$L$60&lt;4</formula>
    </cfRule>
  </conditionalFormatting>
  <conditionalFormatting sqref="A17:N17">
    <cfRule type="expression" dxfId="215" priority="14">
      <formula>$AG17&gt;0</formula>
    </cfRule>
    <cfRule type="expression" dxfId="214" priority="15">
      <formula>$AA17&gt;0</formula>
    </cfRule>
    <cfRule type="expression" dxfId="213" priority="16">
      <formula>AND($M17="disallow",$W17="")</formula>
    </cfRule>
  </conditionalFormatting>
  <conditionalFormatting sqref="N18:N57">
    <cfRule type="expression" dxfId="212" priority="11">
      <formula>$AG18&gt;0</formula>
    </cfRule>
    <cfRule type="expression" dxfId="211" priority="12">
      <formula>$AA18&gt;0</formula>
    </cfRule>
    <cfRule type="expression" dxfId="210" priority="13">
      <formula>AND($M18="disallow",$W18="")</formula>
    </cfRule>
  </conditionalFormatting>
  <conditionalFormatting sqref="G6:I6">
    <cfRule type="expression" dxfId="209" priority="10">
      <formula>$AA$58&gt;0</formula>
    </cfRule>
  </conditionalFormatting>
  <conditionalFormatting sqref="M18:M57">
    <cfRule type="expression" dxfId="208" priority="7">
      <formula>$AG18&gt;0</formula>
    </cfRule>
    <cfRule type="expression" dxfId="207" priority="8">
      <formula>$AA18&gt;0</formula>
    </cfRule>
    <cfRule type="expression" dxfId="206" priority="9">
      <formula>AND($M18="disallow",$W18="")</formula>
    </cfRule>
  </conditionalFormatting>
  <conditionalFormatting sqref="A17:L17">
    <cfRule type="expression" dxfId="205" priority="6">
      <formula>$M17="disallow"</formula>
    </cfRule>
  </conditionalFormatting>
  <conditionalFormatting sqref="G5:J5">
    <cfRule type="expression" dxfId="204" priority="5">
      <formula>$M$15&gt;0</formula>
    </cfRule>
  </conditionalFormatting>
  <conditionalFormatting sqref="A18:L57">
    <cfRule type="expression" dxfId="203" priority="2">
      <formula>$AG18&gt;0</formula>
    </cfRule>
    <cfRule type="expression" dxfId="202" priority="3">
      <formula>$AA18&gt;0</formula>
    </cfRule>
    <cfRule type="expression" dxfId="201" priority="4">
      <formula>AND($M18="disallow",$W18="")</formula>
    </cfRule>
  </conditionalFormatting>
  <conditionalFormatting sqref="A18:L57">
    <cfRule type="expression" dxfId="200" priority="1">
      <formula>$M18="disallow"</formula>
    </cfRule>
  </conditionalFormatting>
  <dataValidations count="1">
    <dataValidation type="date" operator="greaterThan" allowBlank="1" showInputMessage="1" showErrorMessage="1" promptTitle="date format" prompt="Please use date format mm/dd/yy" sqref="A17:A57" xr:uid="{00000000-0002-0000-0900-000000000000}">
      <formula1>40909</formula1>
    </dataValidation>
  </dataValidations>
  <pageMargins left="0.25" right="0.25" top="0.25" bottom="0.25" header="0.25" footer="0"/>
  <pageSetup scale="70" orientation="landscape" r:id="rId1"/>
  <headerFooter alignWithMargins="0">
    <oddHeader xml:space="preserve">&amp;L&amp;"Arial,Bold"&amp;14Out of Town Travel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H61"/>
  <sheetViews>
    <sheetView view="pageBreakPreview" zoomScale="75" zoomScaleNormal="100" zoomScaleSheetLayoutView="75" workbookViewId="0">
      <selection activeCell="A17" sqref="A17"/>
    </sheetView>
  </sheetViews>
  <sheetFormatPr defaultRowHeight="12.75" outlineLevelCol="1" x14ac:dyDescent="0.2"/>
  <cols>
    <col min="1" max="4" width="10.7109375" customWidth="1"/>
    <col min="5" max="7" width="23.7109375" customWidth="1"/>
    <col min="8" max="8" width="12" customWidth="1"/>
    <col min="9" max="11" width="13.85546875" customWidth="1"/>
    <col min="12" max="12" width="11.7109375" style="46" customWidth="1"/>
    <col min="13" max="13" width="4.140625" style="70" customWidth="1"/>
    <col min="14" max="14" width="2" style="70" customWidth="1"/>
    <col min="15" max="15" width="1.5703125" style="69" customWidth="1"/>
    <col min="21" max="21" width="7" bestFit="1" customWidth="1"/>
    <col min="22" max="24" width="8.5703125" customWidth="1"/>
    <col min="27" max="30" width="0" hidden="1" customWidth="1" outlineLevel="1"/>
    <col min="31" max="32" width="10.85546875" hidden="1" customWidth="1" outlineLevel="1"/>
    <col min="33" max="33" width="0" hidden="1" customWidth="1" outlineLevel="1"/>
    <col min="34" max="34" width="9.140625" collapsed="1"/>
  </cols>
  <sheetData>
    <row r="1" spans="1:33" x14ac:dyDescent="0.2">
      <c r="A1" s="639" t="s">
        <v>27</v>
      </c>
      <c r="B1" s="640"/>
      <c r="C1" s="640"/>
      <c r="D1" s="640"/>
      <c r="E1" s="641"/>
      <c r="J1" s="5" t="s">
        <v>80</v>
      </c>
      <c r="K1" s="4" t="str">
        <f>'Out-of-town'!K1</f>
        <v>Gordy Decker</v>
      </c>
      <c r="L1" s="45"/>
      <c r="M1" s="68"/>
      <c r="N1" s="68"/>
    </row>
    <row r="2" spans="1:33" x14ac:dyDescent="0.2">
      <c r="A2" s="375" t="s">
        <v>13</v>
      </c>
      <c r="B2" s="376"/>
      <c r="C2" s="377"/>
      <c r="D2" s="375" t="s">
        <v>16</v>
      </c>
      <c r="E2" s="377"/>
      <c r="J2" s="5" t="s">
        <v>109</v>
      </c>
      <c r="K2" s="8">
        <f>'Out-of-town'!K2</f>
        <v>0</v>
      </c>
    </row>
    <row r="3" spans="1:33" x14ac:dyDescent="0.2">
      <c r="A3" s="378" t="s">
        <v>14</v>
      </c>
      <c r="B3" s="379"/>
      <c r="C3" s="380"/>
      <c r="D3" s="378" t="s">
        <v>17</v>
      </c>
      <c r="E3" s="380"/>
    </row>
    <row r="4" spans="1:33" ht="12.75" customHeight="1" x14ac:dyDescent="0.2">
      <c r="A4" s="381" t="s">
        <v>15</v>
      </c>
      <c r="B4" s="382"/>
      <c r="C4" s="383"/>
      <c r="D4" s="381"/>
      <c r="E4" s="383"/>
      <c r="G4" s="448" t="s">
        <v>1650</v>
      </c>
      <c r="I4" s="446"/>
      <c r="J4" s="446"/>
      <c r="K4" s="446"/>
      <c r="L4" s="446"/>
    </row>
    <row r="5" spans="1:33" x14ac:dyDescent="0.2">
      <c r="G5" s="449" t="s">
        <v>1649</v>
      </c>
      <c r="I5" s="446"/>
      <c r="J5" s="446"/>
      <c r="K5" s="446"/>
      <c r="L5" s="446"/>
    </row>
    <row r="7" spans="1:33" x14ac:dyDescent="0.2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730"/>
      <c r="K7" s="731"/>
      <c r="L7" s="732"/>
    </row>
    <row r="8" spans="1:33" x14ac:dyDescent="0.2">
      <c r="A8" s="633"/>
      <c r="B8" s="634"/>
      <c r="C8" s="634"/>
      <c r="D8" s="634"/>
      <c r="E8" s="635"/>
      <c r="G8" s="661" t="s">
        <v>115</v>
      </c>
      <c r="H8" s="662"/>
      <c r="I8" s="663"/>
      <c r="J8" s="655"/>
      <c r="K8" s="656"/>
      <c r="L8" s="657"/>
    </row>
    <row r="9" spans="1:33" x14ac:dyDescent="0.2">
      <c r="A9" s="633"/>
      <c r="B9" s="634"/>
      <c r="C9" s="634"/>
      <c r="D9" s="634"/>
      <c r="E9" s="635"/>
      <c r="G9" s="661" t="s">
        <v>116</v>
      </c>
      <c r="H9" s="662"/>
      <c r="I9" s="663"/>
      <c r="J9" s="655"/>
      <c r="K9" s="656"/>
      <c r="L9" s="657"/>
    </row>
    <row r="10" spans="1:33" x14ac:dyDescent="0.2">
      <c r="A10" s="633"/>
      <c r="B10" s="634"/>
      <c r="C10" s="634"/>
      <c r="D10" s="634"/>
      <c r="E10" s="635"/>
      <c r="G10" s="646"/>
      <c r="H10" s="647"/>
      <c r="I10" s="648"/>
      <c r="J10" s="646"/>
      <c r="K10" s="647"/>
      <c r="L10" s="648"/>
    </row>
    <row r="11" spans="1:33" x14ac:dyDescent="0.2">
      <c r="A11" s="633"/>
      <c r="B11" s="634"/>
      <c r="C11" s="634"/>
      <c r="D11" s="634"/>
      <c r="E11" s="635"/>
      <c r="G11" s="646"/>
      <c r="H11" s="647"/>
      <c r="I11" s="648"/>
      <c r="J11" s="646"/>
      <c r="K11" s="647"/>
      <c r="L11" s="648"/>
    </row>
    <row r="12" spans="1:33" x14ac:dyDescent="0.2">
      <c r="A12" s="636"/>
      <c r="B12" s="637"/>
      <c r="C12" s="637"/>
      <c r="D12" s="637"/>
      <c r="E12" s="638"/>
      <c r="F12" s="14"/>
      <c r="G12" s="649"/>
      <c r="H12" s="650"/>
      <c r="I12" s="651"/>
      <c r="J12" s="649"/>
      <c r="K12" s="650"/>
      <c r="L12" s="651"/>
      <c r="M12" s="68"/>
      <c r="N12" s="68"/>
    </row>
    <row r="13" spans="1:33" x14ac:dyDescent="0.2">
      <c r="C13" s="14"/>
      <c r="D13" s="14"/>
      <c r="E13" s="14"/>
      <c r="F13" s="14"/>
      <c r="G13" s="14"/>
      <c r="L13" s="50"/>
      <c r="M13" s="68"/>
      <c r="N13" s="68"/>
    </row>
    <row r="14" spans="1:33" ht="15" x14ac:dyDescent="0.2">
      <c r="A14" s="35" t="s">
        <v>28</v>
      </c>
      <c r="B14" s="664" t="s">
        <v>54</v>
      </c>
      <c r="C14" s="740"/>
      <c r="D14" s="740"/>
      <c r="E14" s="664" t="s">
        <v>29</v>
      </c>
      <c r="F14" s="740"/>
      <c r="G14" s="740"/>
      <c r="H14" s="664" t="s">
        <v>30</v>
      </c>
      <c r="I14" s="664"/>
      <c r="J14" s="664"/>
      <c r="K14" s="664"/>
      <c r="L14" s="50"/>
      <c r="M14" s="68"/>
      <c r="N14" s="68"/>
      <c r="P14" s="667" t="s">
        <v>186</v>
      </c>
      <c r="Q14" s="667"/>
      <c r="R14" s="667"/>
      <c r="S14" s="667"/>
      <c r="T14" s="667"/>
      <c r="U14" s="665" t="s">
        <v>288</v>
      </c>
      <c r="V14" s="665" t="s">
        <v>292</v>
      </c>
      <c r="W14" s="665" t="s">
        <v>507</v>
      </c>
      <c r="X14" s="665" t="s">
        <v>292</v>
      </c>
      <c r="Y14" s="665" t="s">
        <v>664</v>
      </c>
    </row>
    <row r="15" spans="1:33" s="16" customFormat="1" ht="15" x14ac:dyDescent="0.2">
      <c r="A15" s="98" t="s">
        <v>104</v>
      </c>
      <c r="B15" s="741"/>
      <c r="C15" s="741"/>
      <c r="D15" s="741"/>
      <c r="E15" s="741"/>
      <c r="F15" s="741"/>
      <c r="G15" s="741"/>
      <c r="H15" s="670" t="s">
        <v>96</v>
      </c>
      <c r="I15" s="670"/>
      <c r="J15" s="670"/>
      <c r="K15" s="670"/>
      <c r="L15" s="57" t="s">
        <v>31</v>
      </c>
      <c r="M15" s="478">
        <f ca="1">COUNTIF(M17:M57,"disallow")</f>
        <v>0</v>
      </c>
      <c r="N15" s="71"/>
      <c r="O15" s="69"/>
      <c r="P15" s="167" t="s">
        <v>286</v>
      </c>
      <c r="Q15" s="672" t="s">
        <v>287</v>
      </c>
      <c r="R15" s="672"/>
      <c r="S15" s="672"/>
      <c r="T15" s="672"/>
      <c r="U15" s="666"/>
      <c r="V15" s="666"/>
      <c r="W15" s="666"/>
      <c r="X15" s="666"/>
      <c r="Y15" s="666"/>
      <c r="AA15" s="690" t="s">
        <v>1656</v>
      </c>
      <c r="AB15" s="691"/>
      <c r="AC15" s="471"/>
      <c r="AD15" s="473" t="s">
        <v>1666</v>
      </c>
      <c r="AE15" s="465" t="s">
        <v>1662</v>
      </c>
      <c r="AF15" s="465" t="s">
        <v>1667</v>
      </c>
      <c r="AG15" s="471"/>
    </row>
    <row r="16" spans="1:33" ht="12.75" hidden="1" customHeight="1" x14ac:dyDescent="0.2">
      <c r="A16" s="58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1"/>
      <c r="M16" s="68" t="str">
        <f>IF(L16&gt;=75,"*"," ")</f>
        <v xml:space="preserve"> </v>
      </c>
      <c r="N16" s="68"/>
      <c r="O16" s="69" t="str">
        <f>IF(L16&gt;=75,L16," ")</f>
        <v xml:space="preserve"> 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AA16" s="102"/>
      <c r="AB16" s="14"/>
      <c r="AC16" s="459"/>
      <c r="AD16" s="102"/>
      <c r="AE16" s="14"/>
      <c r="AF16" s="14"/>
      <c r="AG16" s="459"/>
    </row>
    <row r="17" spans="1:33" x14ac:dyDescent="0.2">
      <c r="A17" s="494"/>
      <c r="B17" s="686"/>
      <c r="C17" s="687"/>
      <c r="D17" s="687"/>
      <c r="E17" s="686"/>
      <c r="F17" s="687"/>
      <c r="G17" s="687"/>
      <c r="H17" s="686"/>
      <c r="I17" s="687"/>
      <c r="J17" s="687"/>
      <c r="K17" s="687"/>
      <c r="L17" s="495"/>
      <c r="M17" s="164" t="str">
        <f t="shared" ref="M17:M54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/>
      </c>
      <c r="N17" s="161"/>
      <c r="O17" s="163" t="str">
        <f ca="1">IF(AND(L17&gt;=75,M17&lt;&gt;"disallow"),1," ")</f>
        <v xml:space="preserve"> </v>
      </c>
      <c r="P17" s="168"/>
      <c r="Q17" s="629"/>
      <c r="R17" s="629"/>
      <c r="S17" s="629"/>
      <c r="T17" s="629"/>
      <c r="U17" s="178"/>
      <c r="V17" s="178">
        <f ca="1">IF(AND(W17=0,M17="disallow"),L17,0)</f>
        <v>0</v>
      </c>
      <c r="W17" s="178"/>
      <c r="X17" s="178">
        <f>IF(W17&gt;0,-U17,0)</f>
        <v>0</v>
      </c>
      <c r="Y17" s="166">
        <f t="shared" ref="Y17:Y54" si="1">IF(AND(A17&lt;Fiscal_Start_Date,submit_date-A17&lt;90,submit_date&gt;=0),L17,0)</f>
        <v>0</v>
      </c>
      <c r="AA17" s="460" t="b">
        <f>SUMPRODUCT(--ISNUMBER(SEARCH(AA$15,$B17)))&gt;0</f>
        <v>0</v>
      </c>
      <c r="AB17" s="257" t="b">
        <f>SUMPRODUCT(--ISNUMBER(SEARCH(AA$15,$E17:$K17)))&gt;0</f>
        <v>0</v>
      </c>
      <c r="AC17" s="459">
        <f>COUNTIF(AA17:AB17,"true")</f>
        <v>0</v>
      </c>
      <c r="AD17" s="460" t="b">
        <f>SUMPRODUCT(--ISNUMBER(SEARCH(AD$15,$B17:$K17)))&gt;0</f>
        <v>0</v>
      </c>
      <c r="AE17" s="257" t="b">
        <f t="shared" ref="AE17:AF18" si="2">SUMPRODUCT(--ISNUMBER(SEARCH(AE$15,$B17:$K17)))&gt;0</f>
        <v>0</v>
      </c>
      <c r="AF17" s="257" t="b">
        <f t="shared" si="2"/>
        <v>0</v>
      </c>
      <c r="AG17" s="459">
        <f>COUNTIF(AD17:AF17,"true")</f>
        <v>0</v>
      </c>
    </row>
    <row r="18" spans="1:33" x14ac:dyDescent="0.2">
      <c r="A18" s="494"/>
      <c r="B18" s="686"/>
      <c r="C18" s="687"/>
      <c r="D18" s="687"/>
      <c r="E18" s="686"/>
      <c r="F18" s="687"/>
      <c r="G18" s="687"/>
      <c r="H18" s="686"/>
      <c r="I18" s="687"/>
      <c r="J18" s="687"/>
      <c r="K18" s="687"/>
      <c r="L18" s="495"/>
      <c r="M18" s="164" t="str">
        <f t="shared" ca="1" si="0"/>
        <v/>
      </c>
      <c r="N18" s="161"/>
      <c r="O18" s="163" t="str">
        <f t="shared" ref="O18:O54" ca="1" si="3">IF(AND(L18&gt;=75,M18&lt;&gt;"disallow"),1," ")</f>
        <v xml:space="preserve"> </v>
      </c>
      <c r="P18" s="168"/>
      <c r="Q18" s="629"/>
      <c r="R18" s="629"/>
      <c r="S18" s="629"/>
      <c r="T18" s="629"/>
      <c r="U18" s="178"/>
      <c r="V18" s="178">
        <f t="shared" ref="V18:V54" ca="1" si="4">IF(AND(W18=0,M18="disallow"),L18,0)</f>
        <v>0</v>
      </c>
      <c r="W18" s="178"/>
      <c r="X18" s="178">
        <f t="shared" ref="X18:X54" si="5">IF(W18&gt;0,-U18,0)</f>
        <v>0</v>
      </c>
      <c r="Y18" s="166">
        <f t="shared" si="1"/>
        <v>0</v>
      </c>
      <c r="AA18" s="460" t="b">
        <f t="shared" ref="AA18:AA54" si="6">SUMPRODUCT(--ISNUMBER(SEARCH(AA$15,$B18)))&gt;0</f>
        <v>0</v>
      </c>
      <c r="AB18" s="257" t="b">
        <f t="shared" ref="AB18:AB54" si="7">SUMPRODUCT(--ISNUMBER(SEARCH(AA$15,$E18:$K18)))&gt;0</f>
        <v>0</v>
      </c>
      <c r="AC18" s="459">
        <f t="shared" ref="AC18:AC54" si="8">COUNTIF(AA18:AB18,"true")</f>
        <v>0</v>
      </c>
      <c r="AD18" s="460" t="b">
        <f t="shared" ref="AD18:AD54" si="9">SUMPRODUCT(--ISNUMBER(SEARCH(AD$15,$B18:$K18)))&gt;0</f>
        <v>0</v>
      </c>
      <c r="AE18" s="257" t="b">
        <f t="shared" si="2"/>
        <v>0</v>
      </c>
      <c r="AF18" s="257" t="b">
        <f t="shared" si="2"/>
        <v>0</v>
      </c>
      <c r="AG18" s="459">
        <f t="shared" ref="AG18:AG54" si="10">COUNTIF(AD18:AF18,"true")</f>
        <v>0</v>
      </c>
    </row>
    <row r="19" spans="1:33" x14ac:dyDescent="0.2">
      <c r="A19" s="494"/>
      <c r="B19" s="686"/>
      <c r="C19" s="687"/>
      <c r="D19" s="687"/>
      <c r="E19" s="686"/>
      <c r="F19" s="687"/>
      <c r="G19" s="687"/>
      <c r="H19" s="686"/>
      <c r="I19" s="687"/>
      <c r="J19" s="687"/>
      <c r="K19" s="687"/>
      <c r="L19" s="495"/>
      <c r="M19" s="164" t="str">
        <f t="shared" ca="1" si="0"/>
        <v/>
      </c>
      <c r="N19" s="161"/>
      <c r="O19" s="163" t="str">
        <f t="shared" ca="1" si="3"/>
        <v xml:space="preserve"> </v>
      </c>
      <c r="P19" s="168"/>
      <c r="Q19" s="629"/>
      <c r="R19" s="629"/>
      <c r="S19" s="629"/>
      <c r="T19" s="629"/>
      <c r="U19" s="178"/>
      <c r="V19" s="178">
        <f t="shared" ca="1" si="4"/>
        <v>0</v>
      </c>
      <c r="W19" s="178"/>
      <c r="X19" s="178">
        <f t="shared" si="5"/>
        <v>0</v>
      </c>
      <c r="Y19" s="166">
        <f t="shared" si="1"/>
        <v>0</v>
      </c>
      <c r="AA19" s="460" t="b">
        <f t="shared" si="6"/>
        <v>0</v>
      </c>
      <c r="AB19" s="257" t="b">
        <f t="shared" si="7"/>
        <v>0</v>
      </c>
      <c r="AC19" s="459">
        <f t="shared" si="8"/>
        <v>0</v>
      </c>
      <c r="AD19" s="460" t="b">
        <f t="shared" si="9"/>
        <v>0</v>
      </c>
      <c r="AE19" s="257" t="b">
        <f>SUMPRODUCT(--ISNUMBER(SEARCH(AE$15,$B19:$K19)))&gt;0</f>
        <v>0</v>
      </c>
      <c r="AF19" s="257" t="b">
        <f>SUMPRODUCT(--ISNUMBER(SEARCH(AF$15,$B19:$K19)))&gt;0</f>
        <v>0</v>
      </c>
      <c r="AG19" s="459">
        <f t="shared" si="10"/>
        <v>0</v>
      </c>
    </row>
    <row r="20" spans="1:33" x14ac:dyDescent="0.2">
      <c r="A20" s="494"/>
      <c r="B20" s="686"/>
      <c r="C20" s="687"/>
      <c r="D20" s="687"/>
      <c r="E20" s="686"/>
      <c r="F20" s="687"/>
      <c r="G20" s="687"/>
      <c r="H20" s="686"/>
      <c r="I20" s="687"/>
      <c r="J20" s="687"/>
      <c r="K20" s="687"/>
      <c r="L20" s="495"/>
      <c r="M20" s="164" t="str">
        <f t="shared" ca="1" si="0"/>
        <v/>
      </c>
      <c r="N20" s="161"/>
      <c r="O20" s="163" t="str">
        <f t="shared" ca="1" si="3"/>
        <v xml:space="preserve"> </v>
      </c>
      <c r="P20" s="168"/>
      <c r="Q20" s="629"/>
      <c r="R20" s="629"/>
      <c r="S20" s="629"/>
      <c r="T20" s="629"/>
      <c r="U20" s="178"/>
      <c r="V20" s="178">
        <f t="shared" ca="1" si="4"/>
        <v>0</v>
      </c>
      <c r="W20" s="178"/>
      <c r="X20" s="178">
        <f t="shared" si="5"/>
        <v>0</v>
      </c>
      <c r="Y20" s="166">
        <f t="shared" si="1"/>
        <v>0</v>
      </c>
      <c r="AA20" s="460" t="b">
        <f t="shared" si="6"/>
        <v>0</v>
      </c>
      <c r="AB20" s="257" t="b">
        <f t="shared" si="7"/>
        <v>0</v>
      </c>
      <c r="AC20" s="459">
        <f t="shared" si="8"/>
        <v>0</v>
      </c>
      <c r="AD20" s="460" t="b">
        <f t="shared" si="9"/>
        <v>0</v>
      </c>
      <c r="AE20" s="257" t="b">
        <f t="shared" ref="AE20:AF54" si="11">SUMPRODUCT(--ISNUMBER(SEARCH(AE$15,$B20:$K20)))&gt;0</f>
        <v>0</v>
      </c>
      <c r="AF20" s="257" t="b">
        <f t="shared" si="11"/>
        <v>0</v>
      </c>
      <c r="AG20" s="459">
        <f t="shared" si="10"/>
        <v>0</v>
      </c>
    </row>
    <row r="21" spans="1:33" x14ac:dyDescent="0.2">
      <c r="A21" s="494"/>
      <c r="B21" s="686"/>
      <c r="C21" s="687"/>
      <c r="D21" s="687"/>
      <c r="E21" s="686"/>
      <c r="F21" s="687"/>
      <c r="G21" s="687"/>
      <c r="H21" s="686"/>
      <c r="I21" s="687"/>
      <c r="J21" s="687"/>
      <c r="K21" s="687"/>
      <c r="L21" s="495"/>
      <c r="M21" s="164" t="str">
        <f t="shared" ca="1" si="0"/>
        <v/>
      </c>
      <c r="N21" s="161"/>
      <c r="O21" s="163" t="str">
        <f t="shared" ca="1" si="3"/>
        <v xml:space="preserve"> </v>
      </c>
      <c r="P21" s="168"/>
      <c r="Q21" s="629"/>
      <c r="R21" s="629"/>
      <c r="S21" s="629"/>
      <c r="T21" s="629"/>
      <c r="U21" s="178"/>
      <c r="V21" s="178">
        <f t="shared" ca="1" si="4"/>
        <v>0</v>
      </c>
      <c r="W21" s="178"/>
      <c r="X21" s="178">
        <f t="shared" si="5"/>
        <v>0</v>
      </c>
      <c r="Y21" s="166">
        <f t="shared" si="1"/>
        <v>0</v>
      </c>
      <c r="AA21" s="460" t="b">
        <f t="shared" si="6"/>
        <v>0</v>
      </c>
      <c r="AB21" s="257" t="b">
        <f t="shared" si="7"/>
        <v>0</v>
      </c>
      <c r="AC21" s="459">
        <f t="shared" si="8"/>
        <v>0</v>
      </c>
      <c r="AD21" s="460" t="b">
        <f t="shared" si="9"/>
        <v>0</v>
      </c>
      <c r="AE21" s="257" t="b">
        <f t="shared" si="11"/>
        <v>0</v>
      </c>
      <c r="AF21" s="257" t="b">
        <f t="shared" si="11"/>
        <v>0</v>
      </c>
      <c r="AG21" s="459">
        <f t="shared" si="10"/>
        <v>0</v>
      </c>
    </row>
    <row r="22" spans="1:33" x14ac:dyDescent="0.2">
      <c r="A22" s="494"/>
      <c r="B22" s="686"/>
      <c r="C22" s="687"/>
      <c r="D22" s="687"/>
      <c r="E22" s="686"/>
      <c r="F22" s="687"/>
      <c r="G22" s="687"/>
      <c r="H22" s="686"/>
      <c r="I22" s="687"/>
      <c r="J22" s="687"/>
      <c r="K22" s="687"/>
      <c r="L22" s="495"/>
      <c r="M22" s="164" t="str">
        <f t="shared" ca="1" si="0"/>
        <v/>
      </c>
      <c r="N22" s="161"/>
      <c r="O22" s="163" t="str">
        <f t="shared" ca="1" si="3"/>
        <v xml:space="preserve"> </v>
      </c>
      <c r="P22" s="168"/>
      <c r="Q22" s="629"/>
      <c r="R22" s="629"/>
      <c r="S22" s="629"/>
      <c r="T22" s="629"/>
      <c r="U22" s="178"/>
      <c r="V22" s="178">
        <f t="shared" ca="1" si="4"/>
        <v>0</v>
      </c>
      <c r="W22" s="178"/>
      <c r="X22" s="178">
        <f t="shared" si="5"/>
        <v>0</v>
      </c>
      <c r="Y22" s="166">
        <f t="shared" si="1"/>
        <v>0</v>
      </c>
      <c r="AA22" s="460" t="b">
        <f t="shared" si="6"/>
        <v>0</v>
      </c>
      <c r="AB22" s="257" t="b">
        <f t="shared" si="7"/>
        <v>0</v>
      </c>
      <c r="AC22" s="459">
        <f t="shared" si="8"/>
        <v>0</v>
      </c>
      <c r="AD22" s="460" t="b">
        <f t="shared" si="9"/>
        <v>0</v>
      </c>
      <c r="AE22" s="257" t="b">
        <f t="shared" si="11"/>
        <v>0</v>
      </c>
      <c r="AF22" s="257" t="b">
        <f t="shared" si="11"/>
        <v>0</v>
      </c>
      <c r="AG22" s="459">
        <f t="shared" si="10"/>
        <v>0</v>
      </c>
    </row>
    <row r="23" spans="1:33" x14ac:dyDescent="0.2">
      <c r="A23" s="494"/>
      <c r="B23" s="686"/>
      <c r="C23" s="687"/>
      <c r="D23" s="687"/>
      <c r="E23" s="686"/>
      <c r="F23" s="687"/>
      <c r="G23" s="687"/>
      <c r="H23" s="686"/>
      <c r="I23" s="687"/>
      <c r="J23" s="687"/>
      <c r="K23" s="687"/>
      <c r="L23" s="495"/>
      <c r="M23" s="164" t="str">
        <f t="shared" ref="M23:M25" ca="1" si="12">IF(A23&gt;0,IF(submit_date&gt;0,IF(submit_date-A23&gt;60,"disallow",IF(L23&gt;=75,IF(AND(N23="",TODAY()-submit_date&gt;30),"disallow","*")," ")),IF(TODAY()-A23&gt;60,"disallow",IF(L23&gt;=75,IF(AND(N23="",TODAY()-submit_date&gt;30),"disallow","*")," "))),IF(L23&gt;=75,IF(AND(N23="",TODAY()-submit_date&gt;30),"disallow","*"),""))</f>
        <v/>
      </c>
      <c r="N23" s="161"/>
      <c r="O23" s="163" t="str">
        <f t="shared" ref="O23:O25" ca="1" si="13">IF(AND(L23&gt;=75,M23&lt;&gt;"disallow"),1," ")</f>
        <v xml:space="preserve"> </v>
      </c>
      <c r="P23" s="168"/>
      <c r="Q23" s="629"/>
      <c r="R23" s="629"/>
      <c r="S23" s="629"/>
      <c r="T23" s="629"/>
      <c r="U23" s="178"/>
      <c r="V23" s="178">
        <f t="shared" ref="V23:V25" ca="1" si="14">IF(AND(W23=0,M23="disallow"),L23,0)</f>
        <v>0</v>
      </c>
      <c r="W23" s="178"/>
      <c r="X23" s="178">
        <f t="shared" ref="X23:X25" si="15">IF(W23&gt;0,-U23,0)</f>
        <v>0</v>
      </c>
      <c r="Y23" s="166">
        <f t="shared" ref="Y23:Y25" si="16">IF(AND(A23&lt;Fiscal_Start_Date,submit_date-A23&lt;90,submit_date&gt;=0),L23,0)</f>
        <v>0</v>
      </c>
      <c r="AA23" s="460" t="b">
        <f t="shared" si="6"/>
        <v>0</v>
      </c>
      <c r="AB23" s="257" t="b">
        <f t="shared" si="7"/>
        <v>0</v>
      </c>
      <c r="AC23" s="459">
        <f t="shared" si="8"/>
        <v>0</v>
      </c>
      <c r="AD23" s="460" t="b">
        <f t="shared" si="9"/>
        <v>0</v>
      </c>
      <c r="AE23" s="257" t="b">
        <f t="shared" si="11"/>
        <v>0</v>
      </c>
      <c r="AF23" s="257" t="b">
        <f t="shared" si="11"/>
        <v>0</v>
      </c>
      <c r="AG23" s="459">
        <f t="shared" si="10"/>
        <v>0</v>
      </c>
    </row>
    <row r="24" spans="1:33" x14ac:dyDescent="0.2">
      <c r="A24" s="494"/>
      <c r="B24" s="686"/>
      <c r="C24" s="687"/>
      <c r="D24" s="687"/>
      <c r="E24" s="686"/>
      <c r="F24" s="687"/>
      <c r="G24" s="687"/>
      <c r="H24" s="686"/>
      <c r="I24" s="687"/>
      <c r="J24" s="687"/>
      <c r="K24" s="687"/>
      <c r="L24" s="495"/>
      <c r="M24" s="164" t="str">
        <f t="shared" ca="1" si="12"/>
        <v/>
      </c>
      <c r="N24" s="161"/>
      <c r="O24" s="163" t="str">
        <f t="shared" ca="1" si="13"/>
        <v xml:space="preserve"> </v>
      </c>
      <c r="P24" s="169"/>
      <c r="Q24" s="629"/>
      <c r="R24" s="629"/>
      <c r="S24" s="629"/>
      <c r="T24" s="629"/>
      <c r="U24" s="178"/>
      <c r="V24" s="178">
        <f t="shared" ca="1" si="14"/>
        <v>0</v>
      </c>
      <c r="W24" s="178"/>
      <c r="X24" s="178">
        <f t="shared" si="15"/>
        <v>0</v>
      </c>
      <c r="Y24" s="166">
        <f t="shared" si="16"/>
        <v>0</v>
      </c>
      <c r="AA24" s="460" t="b">
        <f t="shared" si="6"/>
        <v>0</v>
      </c>
      <c r="AB24" s="257" t="b">
        <f t="shared" si="7"/>
        <v>0</v>
      </c>
      <c r="AC24" s="459">
        <f t="shared" si="8"/>
        <v>0</v>
      </c>
      <c r="AD24" s="460" t="b">
        <f t="shared" si="9"/>
        <v>0</v>
      </c>
      <c r="AE24" s="257" t="b">
        <f t="shared" si="11"/>
        <v>0</v>
      </c>
      <c r="AF24" s="257" t="b">
        <f t="shared" si="11"/>
        <v>0</v>
      </c>
      <c r="AG24" s="459">
        <f t="shared" si="10"/>
        <v>0</v>
      </c>
    </row>
    <row r="25" spans="1:33" x14ac:dyDescent="0.2">
      <c r="A25" s="494"/>
      <c r="B25" s="686"/>
      <c r="C25" s="687"/>
      <c r="D25" s="687"/>
      <c r="E25" s="686"/>
      <c r="F25" s="687"/>
      <c r="G25" s="687"/>
      <c r="H25" s="686"/>
      <c r="I25" s="687"/>
      <c r="J25" s="687"/>
      <c r="K25" s="687"/>
      <c r="L25" s="495"/>
      <c r="M25" s="164" t="str">
        <f t="shared" ca="1" si="12"/>
        <v/>
      </c>
      <c r="N25" s="161"/>
      <c r="O25" s="163" t="str">
        <f t="shared" ca="1" si="13"/>
        <v xml:space="preserve"> </v>
      </c>
      <c r="P25" s="168"/>
      <c r="Q25" s="629"/>
      <c r="R25" s="629"/>
      <c r="S25" s="629"/>
      <c r="T25" s="629"/>
      <c r="U25" s="178"/>
      <c r="V25" s="178">
        <f t="shared" ca="1" si="14"/>
        <v>0</v>
      </c>
      <c r="W25" s="178"/>
      <c r="X25" s="178">
        <f t="shared" si="15"/>
        <v>0</v>
      </c>
      <c r="Y25" s="166">
        <f t="shared" si="16"/>
        <v>0</v>
      </c>
      <c r="AA25" s="460" t="b">
        <f t="shared" si="6"/>
        <v>0</v>
      </c>
      <c r="AB25" s="257" t="b">
        <f t="shared" si="7"/>
        <v>0</v>
      </c>
      <c r="AC25" s="459">
        <f t="shared" si="8"/>
        <v>0</v>
      </c>
      <c r="AD25" s="460" t="b">
        <f t="shared" si="9"/>
        <v>0</v>
      </c>
      <c r="AE25" s="257" t="b">
        <f t="shared" si="11"/>
        <v>0</v>
      </c>
      <c r="AF25" s="257" t="b">
        <f t="shared" si="11"/>
        <v>0</v>
      </c>
      <c r="AG25" s="459">
        <f t="shared" si="10"/>
        <v>0</v>
      </c>
    </row>
    <row r="26" spans="1:33" x14ac:dyDescent="0.2">
      <c r="A26" s="494"/>
      <c r="B26" s="686"/>
      <c r="C26" s="687"/>
      <c r="D26" s="687"/>
      <c r="E26" s="686"/>
      <c r="F26" s="687"/>
      <c r="G26" s="687"/>
      <c r="H26" s="686"/>
      <c r="I26" s="687"/>
      <c r="J26" s="687"/>
      <c r="K26" s="687"/>
      <c r="L26" s="495"/>
      <c r="M26" s="164" t="str">
        <f t="shared" ca="1" si="0"/>
        <v/>
      </c>
      <c r="N26" s="161"/>
      <c r="O26" s="163" t="str">
        <f t="shared" ca="1" si="3"/>
        <v xml:space="preserve"> </v>
      </c>
      <c r="P26" s="168"/>
      <c r="Q26" s="629"/>
      <c r="R26" s="629"/>
      <c r="S26" s="629"/>
      <c r="T26" s="629"/>
      <c r="U26" s="178"/>
      <c r="V26" s="178">
        <f t="shared" ca="1" si="4"/>
        <v>0</v>
      </c>
      <c r="W26" s="178"/>
      <c r="X26" s="178">
        <f t="shared" si="5"/>
        <v>0</v>
      </c>
      <c r="Y26" s="166">
        <f t="shared" si="1"/>
        <v>0</v>
      </c>
      <c r="AA26" s="460" t="b">
        <f t="shared" si="6"/>
        <v>0</v>
      </c>
      <c r="AB26" s="257" t="b">
        <f t="shared" si="7"/>
        <v>0</v>
      </c>
      <c r="AC26" s="459">
        <f t="shared" si="8"/>
        <v>0</v>
      </c>
      <c r="AD26" s="460" t="b">
        <f t="shared" si="9"/>
        <v>0</v>
      </c>
      <c r="AE26" s="257" t="b">
        <f t="shared" si="11"/>
        <v>0</v>
      </c>
      <c r="AF26" s="257" t="b">
        <f t="shared" si="11"/>
        <v>0</v>
      </c>
      <c r="AG26" s="459">
        <f t="shared" si="10"/>
        <v>0</v>
      </c>
    </row>
    <row r="27" spans="1:33" x14ac:dyDescent="0.2">
      <c r="A27" s="494"/>
      <c r="B27" s="686"/>
      <c r="C27" s="687"/>
      <c r="D27" s="687"/>
      <c r="E27" s="686"/>
      <c r="F27" s="687"/>
      <c r="G27" s="687"/>
      <c r="H27" s="686"/>
      <c r="I27" s="687"/>
      <c r="J27" s="687"/>
      <c r="K27" s="687"/>
      <c r="L27" s="495"/>
      <c r="M27" s="164" t="str">
        <f t="shared" ca="1" si="0"/>
        <v/>
      </c>
      <c r="N27" s="161"/>
      <c r="O27" s="163" t="str">
        <f t="shared" ca="1" si="3"/>
        <v xml:space="preserve"> </v>
      </c>
      <c r="P27" s="169"/>
      <c r="Q27" s="629"/>
      <c r="R27" s="629"/>
      <c r="S27" s="629"/>
      <c r="T27" s="629"/>
      <c r="U27" s="178"/>
      <c r="V27" s="178">
        <f t="shared" ca="1" si="4"/>
        <v>0</v>
      </c>
      <c r="W27" s="178"/>
      <c r="X27" s="178">
        <f t="shared" si="5"/>
        <v>0</v>
      </c>
      <c r="Y27" s="166">
        <f t="shared" si="1"/>
        <v>0</v>
      </c>
      <c r="AA27" s="460" t="b">
        <f t="shared" si="6"/>
        <v>0</v>
      </c>
      <c r="AB27" s="257" t="b">
        <f t="shared" si="7"/>
        <v>0</v>
      </c>
      <c r="AC27" s="459">
        <f t="shared" si="8"/>
        <v>0</v>
      </c>
      <c r="AD27" s="460" t="b">
        <f t="shared" si="9"/>
        <v>0</v>
      </c>
      <c r="AE27" s="257" t="b">
        <f t="shared" si="11"/>
        <v>0</v>
      </c>
      <c r="AF27" s="257" t="b">
        <f t="shared" si="11"/>
        <v>0</v>
      </c>
      <c r="AG27" s="459">
        <f t="shared" si="10"/>
        <v>0</v>
      </c>
    </row>
    <row r="28" spans="1:33" x14ac:dyDescent="0.2">
      <c r="A28" s="494"/>
      <c r="B28" s="686"/>
      <c r="C28" s="687"/>
      <c r="D28" s="687"/>
      <c r="E28" s="686"/>
      <c r="F28" s="687"/>
      <c r="G28" s="687"/>
      <c r="H28" s="686"/>
      <c r="I28" s="687"/>
      <c r="J28" s="687"/>
      <c r="K28" s="687"/>
      <c r="L28" s="495"/>
      <c r="M28" s="164" t="str">
        <f t="shared" ca="1" si="0"/>
        <v/>
      </c>
      <c r="N28" s="161"/>
      <c r="O28" s="163" t="str">
        <f t="shared" ca="1" si="3"/>
        <v xml:space="preserve"> </v>
      </c>
      <c r="P28" s="168"/>
      <c r="Q28" s="629"/>
      <c r="R28" s="629"/>
      <c r="S28" s="629"/>
      <c r="T28" s="629"/>
      <c r="U28" s="178"/>
      <c r="V28" s="178">
        <f t="shared" ca="1" si="4"/>
        <v>0</v>
      </c>
      <c r="W28" s="178"/>
      <c r="X28" s="178">
        <f t="shared" si="5"/>
        <v>0</v>
      </c>
      <c r="Y28" s="166">
        <f t="shared" si="1"/>
        <v>0</v>
      </c>
      <c r="AA28" s="460" t="b">
        <f t="shared" si="6"/>
        <v>0</v>
      </c>
      <c r="AB28" s="257" t="b">
        <f t="shared" si="7"/>
        <v>0</v>
      </c>
      <c r="AC28" s="459">
        <f t="shared" si="8"/>
        <v>0</v>
      </c>
      <c r="AD28" s="460" t="b">
        <f t="shared" si="9"/>
        <v>0</v>
      </c>
      <c r="AE28" s="257" t="b">
        <f t="shared" si="11"/>
        <v>0</v>
      </c>
      <c r="AF28" s="257" t="b">
        <f t="shared" si="11"/>
        <v>0</v>
      </c>
      <c r="AG28" s="459">
        <f t="shared" si="10"/>
        <v>0</v>
      </c>
    </row>
    <row r="29" spans="1:33" x14ac:dyDescent="0.2">
      <c r="A29" s="494"/>
      <c r="B29" s="686"/>
      <c r="C29" s="687"/>
      <c r="D29" s="687"/>
      <c r="E29" s="686"/>
      <c r="F29" s="687"/>
      <c r="G29" s="687"/>
      <c r="H29" s="686"/>
      <c r="I29" s="687"/>
      <c r="J29" s="687"/>
      <c r="K29" s="687"/>
      <c r="L29" s="495"/>
      <c r="M29" s="164" t="str">
        <f t="shared" ca="1" si="0"/>
        <v/>
      </c>
      <c r="N29" s="161"/>
      <c r="O29" s="163" t="str">
        <f t="shared" ca="1" si="3"/>
        <v xml:space="preserve"> </v>
      </c>
      <c r="P29" s="168"/>
      <c r="Q29" s="629"/>
      <c r="R29" s="629"/>
      <c r="S29" s="629"/>
      <c r="T29" s="629"/>
      <c r="U29" s="178"/>
      <c r="V29" s="178">
        <f t="shared" ca="1" si="4"/>
        <v>0</v>
      </c>
      <c r="W29" s="178"/>
      <c r="X29" s="178">
        <f t="shared" si="5"/>
        <v>0</v>
      </c>
      <c r="Y29" s="166">
        <f t="shared" si="1"/>
        <v>0</v>
      </c>
      <c r="AA29" s="460" t="b">
        <f t="shared" si="6"/>
        <v>0</v>
      </c>
      <c r="AB29" s="257" t="b">
        <f t="shared" si="7"/>
        <v>0</v>
      </c>
      <c r="AC29" s="459">
        <f t="shared" si="8"/>
        <v>0</v>
      </c>
      <c r="AD29" s="460" t="b">
        <f t="shared" si="9"/>
        <v>0</v>
      </c>
      <c r="AE29" s="257" t="b">
        <f t="shared" si="11"/>
        <v>0</v>
      </c>
      <c r="AF29" s="257" t="b">
        <f t="shared" si="11"/>
        <v>0</v>
      </c>
      <c r="AG29" s="459">
        <f t="shared" si="10"/>
        <v>0</v>
      </c>
    </row>
    <row r="30" spans="1:33" x14ac:dyDescent="0.2">
      <c r="A30" s="494"/>
      <c r="B30" s="686"/>
      <c r="C30" s="687"/>
      <c r="D30" s="687"/>
      <c r="E30" s="686"/>
      <c r="F30" s="687"/>
      <c r="G30" s="687"/>
      <c r="H30" s="686"/>
      <c r="I30" s="687"/>
      <c r="J30" s="687"/>
      <c r="K30" s="687"/>
      <c r="L30" s="495"/>
      <c r="M30" s="164" t="str">
        <f t="shared" ref="M30:M34" ca="1" si="17">IF(A30&gt;0,IF(submit_date&gt;0,IF(submit_date-A30&gt;60,"disallow",IF(L30&gt;=75,IF(AND(N30="",TODAY()-submit_date&gt;30),"disallow","*")," ")),IF(TODAY()-A30&gt;60,"disallow",IF(L30&gt;=75,IF(AND(N30="",TODAY()-submit_date&gt;30),"disallow","*")," "))),IF(L30&gt;=75,IF(AND(N30="",TODAY()-submit_date&gt;30),"disallow","*"),""))</f>
        <v/>
      </c>
      <c r="N30" s="161"/>
      <c r="O30" s="163" t="str">
        <f t="shared" ref="O30:O34" ca="1" si="18">IF(AND(L30&gt;=75,M30&lt;&gt;"disallow"),1," ")</f>
        <v xml:space="preserve"> </v>
      </c>
      <c r="P30" s="168"/>
      <c r="Q30" s="629"/>
      <c r="R30" s="629"/>
      <c r="S30" s="629"/>
      <c r="T30" s="629"/>
      <c r="U30" s="178"/>
      <c r="V30" s="178">
        <f t="shared" ref="V30:V34" ca="1" si="19">IF(AND(W30=0,M30="disallow"),L30,0)</f>
        <v>0</v>
      </c>
      <c r="W30" s="178"/>
      <c r="X30" s="178">
        <f t="shared" ref="X30:X34" si="20">IF(W30&gt;0,-U30,0)</f>
        <v>0</v>
      </c>
      <c r="Y30" s="166">
        <f t="shared" ref="Y30:Y34" si="21">IF(AND(A30&lt;Fiscal_Start_Date,submit_date-A30&lt;90,submit_date&gt;=0),L30,0)</f>
        <v>0</v>
      </c>
      <c r="AA30" s="460" t="b">
        <f t="shared" si="6"/>
        <v>0</v>
      </c>
      <c r="AB30" s="257" t="b">
        <f t="shared" si="7"/>
        <v>0</v>
      </c>
      <c r="AC30" s="459">
        <f t="shared" si="8"/>
        <v>0</v>
      </c>
      <c r="AD30" s="460" t="b">
        <f t="shared" si="9"/>
        <v>0</v>
      </c>
      <c r="AE30" s="257" t="b">
        <f t="shared" si="11"/>
        <v>0</v>
      </c>
      <c r="AF30" s="257" t="b">
        <f t="shared" si="11"/>
        <v>0</v>
      </c>
      <c r="AG30" s="459">
        <f t="shared" si="10"/>
        <v>0</v>
      </c>
    </row>
    <row r="31" spans="1:33" x14ac:dyDescent="0.2">
      <c r="A31" s="494"/>
      <c r="B31" s="686"/>
      <c r="C31" s="687"/>
      <c r="D31" s="687"/>
      <c r="E31" s="686"/>
      <c r="F31" s="687"/>
      <c r="G31" s="687"/>
      <c r="H31" s="686"/>
      <c r="I31" s="687"/>
      <c r="J31" s="687"/>
      <c r="K31" s="687"/>
      <c r="L31" s="495"/>
      <c r="M31" s="164" t="str">
        <f t="shared" ca="1" si="17"/>
        <v/>
      </c>
      <c r="N31" s="161"/>
      <c r="O31" s="163" t="str">
        <f t="shared" ca="1" si="18"/>
        <v xml:space="preserve"> </v>
      </c>
      <c r="P31" s="168"/>
      <c r="Q31" s="629"/>
      <c r="R31" s="629"/>
      <c r="S31" s="629"/>
      <c r="T31" s="629"/>
      <c r="U31" s="178"/>
      <c r="V31" s="178">
        <f t="shared" ca="1" si="19"/>
        <v>0</v>
      </c>
      <c r="W31" s="178"/>
      <c r="X31" s="178">
        <f t="shared" si="20"/>
        <v>0</v>
      </c>
      <c r="Y31" s="166">
        <f t="shared" si="21"/>
        <v>0</v>
      </c>
      <c r="AA31" s="460" t="b">
        <f t="shared" si="6"/>
        <v>0</v>
      </c>
      <c r="AB31" s="257" t="b">
        <f t="shared" si="7"/>
        <v>0</v>
      </c>
      <c r="AC31" s="459">
        <f t="shared" si="8"/>
        <v>0</v>
      </c>
      <c r="AD31" s="460" t="b">
        <f t="shared" si="9"/>
        <v>0</v>
      </c>
      <c r="AE31" s="257" t="b">
        <f t="shared" si="11"/>
        <v>0</v>
      </c>
      <c r="AF31" s="257" t="b">
        <f t="shared" si="11"/>
        <v>0</v>
      </c>
      <c r="AG31" s="459">
        <f t="shared" si="10"/>
        <v>0</v>
      </c>
    </row>
    <row r="32" spans="1:33" x14ac:dyDescent="0.2">
      <c r="A32" s="494"/>
      <c r="B32" s="686"/>
      <c r="C32" s="687"/>
      <c r="D32" s="687"/>
      <c r="E32" s="686"/>
      <c r="F32" s="687"/>
      <c r="G32" s="687"/>
      <c r="H32" s="686"/>
      <c r="I32" s="687"/>
      <c r="J32" s="687"/>
      <c r="K32" s="687"/>
      <c r="L32" s="495"/>
      <c r="M32" s="164" t="str">
        <f t="shared" ca="1" si="17"/>
        <v/>
      </c>
      <c r="N32" s="161"/>
      <c r="O32" s="163" t="str">
        <f t="shared" ca="1" si="18"/>
        <v xml:space="preserve"> </v>
      </c>
      <c r="P32" s="169"/>
      <c r="Q32" s="629"/>
      <c r="R32" s="629"/>
      <c r="S32" s="629"/>
      <c r="T32" s="629"/>
      <c r="U32" s="178"/>
      <c r="V32" s="178">
        <f t="shared" ca="1" si="19"/>
        <v>0</v>
      </c>
      <c r="W32" s="178"/>
      <c r="X32" s="178">
        <f t="shared" si="20"/>
        <v>0</v>
      </c>
      <c r="Y32" s="166">
        <f t="shared" si="21"/>
        <v>0</v>
      </c>
      <c r="AA32" s="460" t="b">
        <f t="shared" si="6"/>
        <v>0</v>
      </c>
      <c r="AB32" s="257" t="b">
        <f t="shared" si="7"/>
        <v>0</v>
      </c>
      <c r="AC32" s="459">
        <f t="shared" si="8"/>
        <v>0</v>
      </c>
      <c r="AD32" s="460" t="b">
        <f t="shared" si="9"/>
        <v>0</v>
      </c>
      <c r="AE32" s="257" t="b">
        <f t="shared" si="11"/>
        <v>0</v>
      </c>
      <c r="AF32" s="257" t="b">
        <f t="shared" si="11"/>
        <v>0</v>
      </c>
      <c r="AG32" s="459">
        <f t="shared" si="10"/>
        <v>0</v>
      </c>
    </row>
    <row r="33" spans="1:33" x14ac:dyDescent="0.2">
      <c r="A33" s="494"/>
      <c r="B33" s="686"/>
      <c r="C33" s="687"/>
      <c r="D33" s="687"/>
      <c r="E33" s="686"/>
      <c r="F33" s="687"/>
      <c r="G33" s="687"/>
      <c r="H33" s="686"/>
      <c r="I33" s="687"/>
      <c r="J33" s="687"/>
      <c r="K33" s="687"/>
      <c r="L33" s="495"/>
      <c r="M33" s="164" t="str">
        <f t="shared" ca="1" si="17"/>
        <v/>
      </c>
      <c r="N33" s="161"/>
      <c r="O33" s="163" t="str">
        <f t="shared" ca="1" si="18"/>
        <v xml:space="preserve"> </v>
      </c>
      <c r="P33" s="168"/>
      <c r="Q33" s="629"/>
      <c r="R33" s="629"/>
      <c r="S33" s="629"/>
      <c r="T33" s="629"/>
      <c r="U33" s="178"/>
      <c r="V33" s="178">
        <f t="shared" ca="1" si="19"/>
        <v>0</v>
      </c>
      <c r="W33" s="178"/>
      <c r="X33" s="178">
        <f t="shared" si="20"/>
        <v>0</v>
      </c>
      <c r="Y33" s="166">
        <f t="shared" si="21"/>
        <v>0</v>
      </c>
      <c r="AA33" s="460" t="b">
        <f t="shared" si="6"/>
        <v>0</v>
      </c>
      <c r="AB33" s="257" t="b">
        <f t="shared" si="7"/>
        <v>0</v>
      </c>
      <c r="AC33" s="459">
        <f t="shared" si="8"/>
        <v>0</v>
      </c>
      <c r="AD33" s="460" t="b">
        <f t="shared" si="9"/>
        <v>0</v>
      </c>
      <c r="AE33" s="257" t="b">
        <f t="shared" si="11"/>
        <v>0</v>
      </c>
      <c r="AF33" s="257" t="b">
        <f t="shared" si="11"/>
        <v>0</v>
      </c>
      <c r="AG33" s="459">
        <f t="shared" si="10"/>
        <v>0</v>
      </c>
    </row>
    <row r="34" spans="1:33" x14ac:dyDescent="0.2">
      <c r="A34" s="494"/>
      <c r="B34" s="686"/>
      <c r="C34" s="687"/>
      <c r="D34" s="687"/>
      <c r="E34" s="686"/>
      <c r="F34" s="687"/>
      <c r="G34" s="687"/>
      <c r="H34" s="686"/>
      <c r="I34" s="687"/>
      <c r="J34" s="687"/>
      <c r="K34" s="687"/>
      <c r="L34" s="495"/>
      <c r="M34" s="164" t="str">
        <f t="shared" ca="1" si="17"/>
        <v/>
      </c>
      <c r="N34" s="161"/>
      <c r="O34" s="163" t="str">
        <f t="shared" ca="1" si="18"/>
        <v xml:space="preserve"> </v>
      </c>
      <c r="P34" s="168"/>
      <c r="Q34" s="629"/>
      <c r="R34" s="629"/>
      <c r="S34" s="629"/>
      <c r="T34" s="629"/>
      <c r="U34" s="178"/>
      <c r="V34" s="178">
        <f t="shared" ca="1" si="19"/>
        <v>0</v>
      </c>
      <c r="W34" s="178"/>
      <c r="X34" s="178">
        <f t="shared" si="20"/>
        <v>0</v>
      </c>
      <c r="Y34" s="166">
        <f t="shared" si="21"/>
        <v>0</v>
      </c>
      <c r="AA34" s="460" t="b">
        <f t="shared" si="6"/>
        <v>0</v>
      </c>
      <c r="AB34" s="257" t="b">
        <f t="shared" si="7"/>
        <v>0</v>
      </c>
      <c r="AC34" s="459">
        <f t="shared" si="8"/>
        <v>0</v>
      </c>
      <c r="AD34" s="460" t="b">
        <f t="shared" si="9"/>
        <v>0</v>
      </c>
      <c r="AE34" s="257" t="b">
        <f t="shared" si="11"/>
        <v>0</v>
      </c>
      <c r="AF34" s="257" t="b">
        <f t="shared" si="11"/>
        <v>0</v>
      </c>
      <c r="AG34" s="459">
        <f t="shared" si="10"/>
        <v>0</v>
      </c>
    </row>
    <row r="35" spans="1:33" x14ac:dyDescent="0.2">
      <c r="A35" s="494"/>
      <c r="B35" s="686"/>
      <c r="C35" s="687"/>
      <c r="D35" s="687"/>
      <c r="E35" s="686"/>
      <c r="F35" s="687"/>
      <c r="G35" s="687"/>
      <c r="H35" s="686"/>
      <c r="I35" s="687"/>
      <c r="J35" s="687"/>
      <c r="K35" s="687"/>
      <c r="L35" s="495"/>
      <c r="M35" s="164" t="str">
        <f t="shared" ca="1" si="0"/>
        <v/>
      </c>
      <c r="N35" s="161"/>
      <c r="O35" s="163" t="str">
        <f t="shared" ca="1" si="3"/>
        <v xml:space="preserve"> </v>
      </c>
      <c r="P35" s="168"/>
      <c r="Q35" s="629"/>
      <c r="R35" s="629"/>
      <c r="S35" s="629"/>
      <c r="T35" s="629"/>
      <c r="U35" s="178"/>
      <c r="V35" s="178">
        <f t="shared" ca="1" si="4"/>
        <v>0</v>
      </c>
      <c r="W35" s="178"/>
      <c r="X35" s="178">
        <f t="shared" si="5"/>
        <v>0</v>
      </c>
      <c r="Y35" s="166">
        <f t="shared" si="1"/>
        <v>0</v>
      </c>
      <c r="AA35" s="460" t="b">
        <f t="shared" si="6"/>
        <v>0</v>
      </c>
      <c r="AB35" s="257" t="b">
        <f t="shared" si="7"/>
        <v>0</v>
      </c>
      <c r="AC35" s="459">
        <f t="shared" si="8"/>
        <v>0</v>
      </c>
      <c r="AD35" s="460" t="b">
        <f t="shared" si="9"/>
        <v>0</v>
      </c>
      <c r="AE35" s="257" t="b">
        <f t="shared" si="11"/>
        <v>0</v>
      </c>
      <c r="AF35" s="257" t="b">
        <f t="shared" si="11"/>
        <v>0</v>
      </c>
      <c r="AG35" s="459">
        <f t="shared" si="10"/>
        <v>0</v>
      </c>
    </row>
    <row r="36" spans="1:33" x14ac:dyDescent="0.2">
      <c r="A36" s="494"/>
      <c r="B36" s="686"/>
      <c r="C36" s="687"/>
      <c r="D36" s="687"/>
      <c r="E36" s="686"/>
      <c r="F36" s="687"/>
      <c r="G36" s="687"/>
      <c r="H36" s="686"/>
      <c r="I36" s="687"/>
      <c r="J36" s="687"/>
      <c r="K36" s="687"/>
      <c r="L36" s="495"/>
      <c r="M36" s="164" t="str">
        <f t="shared" ca="1" si="0"/>
        <v/>
      </c>
      <c r="N36" s="161"/>
      <c r="O36" s="163" t="str">
        <f t="shared" ca="1" si="3"/>
        <v xml:space="preserve"> </v>
      </c>
      <c r="P36" s="168"/>
      <c r="Q36" s="629"/>
      <c r="R36" s="629"/>
      <c r="S36" s="629"/>
      <c r="T36" s="629"/>
      <c r="U36" s="178"/>
      <c r="V36" s="178">
        <f t="shared" ca="1" si="4"/>
        <v>0</v>
      </c>
      <c r="W36" s="178"/>
      <c r="X36" s="178">
        <f t="shared" si="5"/>
        <v>0</v>
      </c>
      <c r="Y36" s="166">
        <f t="shared" si="1"/>
        <v>0</v>
      </c>
      <c r="AA36" s="460" t="b">
        <f t="shared" si="6"/>
        <v>0</v>
      </c>
      <c r="AB36" s="257" t="b">
        <f t="shared" si="7"/>
        <v>0</v>
      </c>
      <c r="AC36" s="459">
        <f t="shared" si="8"/>
        <v>0</v>
      </c>
      <c r="AD36" s="460" t="b">
        <f t="shared" si="9"/>
        <v>0</v>
      </c>
      <c r="AE36" s="257" t="b">
        <f t="shared" si="11"/>
        <v>0</v>
      </c>
      <c r="AF36" s="257" t="b">
        <f t="shared" si="11"/>
        <v>0</v>
      </c>
      <c r="AG36" s="459">
        <f t="shared" si="10"/>
        <v>0</v>
      </c>
    </row>
    <row r="37" spans="1:33" x14ac:dyDescent="0.2">
      <c r="A37" s="494"/>
      <c r="B37" s="686"/>
      <c r="C37" s="687"/>
      <c r="D37" s="687"/>
      <c r="E37" s="686"/>
      <c r="F37" s="687"/>
      <c r="G37" s="687"/>
      <c r="H37" s="686"/>
      <c r="I37" s="687"/>
      <c r="J37" s="687"/>
      <c r="K37" s="687"/>
      <c r="L37" s="495"/>
      <c r="M37" s="164" t="str">
        <f t="shared" ca="1" si="0"/>
        <v/>
      </c>
      <c r="N37" s="161"/>
      <c r="O37" s="163" t="str">
        <f t="shared" ca="1" si="3"/>
        <v xml:space="preserve"> </v>
      </c>
      <c r="P37" s="169"/>
      <c r="Q37" s="629"/>
      <c r="R37" s="629"/>
      <c r="S37" s="629"/>
      <c r="T37" s="629"/>
      <c r="U37" s="178"/>
      <c r="V37" s="178">
        <f t="shared" ca="1" si="4"/>
        <v>0</v>
      </c>
      <c r="W37" s="178"/>
      <c r="X37" s="178">
        <f t="shared" si="5"/>
        <v>0</v>
      </c>
      <c r="Y37" s="166">
        <f t="shared" si="1"/>
        <v>0</v>
      </c>
      <c r="AA37" s="460" t="b">
        <f t="shared" si="6"/>
        <v>0</v>
      </c>
      <c r="AB37" s="257" t="b">
        <f t="shared" si="7"/>
        <v>0</v>
      </c>
      <c r="AC37" s="459">
        <f t="shared" si="8"/>
        <v>0</v>
      </c>
      <c r="AD37" s="460" t="b">
        <f t="shared" si="9"/>
        <v>0</v>
      </c>
      <c r="AE37" s="257" t="b">
        <f t="shared" si="11"/>
        <v>0</v>
      </c>
      <c r="AF37" s="257" t="b">
        <f t="shared" si="11"/>
        <v>0</v>
      </c>
      <c r="AG37" s="459">
        <f t="shared" si="10"/>
        <v>0</v>
      </c>
    </row>
    <row r="38" spans="1:33" x14ac:dyDescent="0.2">
      <c r="A38" s="494"/>
      <c r="B38" s="686"/>
      <c r="C38" s="687"/>
      <c r="D38" s="687"/>
      <c r="E38" s="686"/>
      <c r="F38" s="687"/>
      <c r="G38" s="687"/>
      <c r="H38" s="686"/>
      <c r="I38" s="687"/>
      <c r="J38" s="687"/>
      <c r="K38" s="687"/>
      <c r="L38" s="495"/>
      <c r="M38" s="164" t="str">
        <f t="shared" ca="1" si="0"/>
        <v/>
      </c>
      <c r="N38" s="161"/>
      <c r="O38" s="163" t="str">
        <f t="shared" ca="1" si="3"/>
        <v xml:space="preserve"> </v>
      </c>
      <c r="P38" s="168"/>
      <c r="Q38" s="629"/>
      <c r="R38" s="629"/>
      <c r="S38" s="629"/>
      <c r="T38" s="629"/>
      <c r="U38" s="178"/>
      <c r="V38" s="178">
        <f t="shared" ca="1" si="4"/>
        <v>0</v>
      </c>
      <c r="W38" s="178"/>
      <c r="X38" s="178">
        <f t="shared" si="5"/>
        <v>0</v>
      </c>
      <c r="Y38" s="166">
        <f t="shared" si="1"/>
        <v>0</v>
      </c>
      <c r="AA38" s="460" t="b">
        <f t="shared" si="6"/>
        <v>0</v>
      </c>
      <c r="AB38" s="257" t="b">
        <f t="shared" si="7"/>
        <v>0</v>
      </c>
      <c r="AC38" s="459">
        <f t="shared" si="8"/>
        <v>0</v>
      </c>
      <c r="AD38" s="460" t="b">
        <f t="shared" si="9"/>
        <v>0</v>
      </c>
      <c r="AE38" s="257" t="b">
        <f t="shared" si="11"/>
        <v>0</v>
      </c>
      <c r="AF38" s="257" t="b">
        <f t="shared" si="11"/>
        <v>0</v>
      </c>
      <c r="AG38" s="459">
        <f t="shared" si="10"/>
        <v>0</v>
      </c>
    </row>
    <row r="39" spans="1:33" x14ac:dyDescent="0.2">
      <c r="A39" s="494"/>
      <c r="B39" s="686"/>
      <c r="C39" s="687"/>
      <c r="D39" s="687"/>
      <c r="E39" s="686"/>
      <c r="F39" s="687"/>
      <c r="G39" s="687"/>
      <c r="H39" s="686"/>
      <c r="I39" s="687"/>
      <c r="J39" s="687"/>
      <c r="K39" s="687"/>
      <c r="L39" s="495"/>
      <c r="M39" s="164" t="str">
        <f t="shared" ca="1" si="0"/>
        <v/>
      </c>
      <c r="N39" s="161"/>
      <c r="O39" s="163" t="str">
        <f t="shared" ca="1" si="3"/>
        <v xml:space="preserve"> </v>
      </c>
      <c r="P39" s="168"/>
      <c r="Q39" s="629"/>
      <c r="R39" s="629"/>
      <c r="S39" s="629"/>
      <c r="T39" s="629"/>
      <c r="U39" s="178"/>
      <c r="V39" s="178">
        <f t="shared" ca="1" si="4"/>
        <v>0</v>
      </c>
      <c r="W39" s="178"/>
      <c r="X39" s="178">
        <f t="shared" si="5"/>
        <v>0</v>
      </c>
      <c r="Y39" s="166">
        <f t="shared" si="1"/>
        <v>0</v>
      </c>
      <c r="AA39" s="460" t="b">
        <f t="shared" si="6"/>
        <v>0</v>
      </c>
      <c r="AB39" s="257" t="b">
        <f t="shared" si="7"/>
        <v>0</v>
      </c>
      <c r="AC39" s="459">
        <f t="shared" si="8"/>
        <v>0</v>
      </c>
      <c r="AD39" s="460" t="b">
        <f t="shared" si="9"/>
        <v>0</v>
      </c>
      <c r="AE39" s="257" t="b">
        <f t="shared" si="11"/>
        <v>0</v>
      </c>
      <c r="AF39" s="257" t="b">
        <f t="shared" si="11"/>
        <v>0</v>
      </c>
      <c r="AG39" s="459">
        <f t="shared" si="10"/>
        <v>0</v>
      </c>
    </row>
    <row r="40" spans="1:33" x14ac:dyDescent="0.2">
      <c r="A40" s="494"/>
      <c r="B40" s="686"/>
      <c r="C40" s="687"/>
      <c r="D40" s="687"/>
      <c r="E40" s="686"/>
      <c r="F40" s="687"/>
      <c r="G40" s="687"/>
      <c r="H40" s="686"/>
      <c r="I40" s="687"/>
      <c r="J40" s="687"/>
      <c r="K40" s="687"/>
      <c r="L40" s="495"/>
      <c r="M40" s="164" t="str">
        <f t="shared" ca="1" si="0"/>
        <v/>
      </c>
      <c r="N40" s="161"/>
      <c r="O40" s="163" t="str">
        <f t="shared" ca="1" si="3"/>
        <v xml:space="preserve"> </v>
      </c>
      <c r="P40" s="168"/>
      <c r="Q40" s="629"/>
      <c r="R40" s="629"/>
      <c r="S40" s="629"/>
      <c r="T40" s="629"/>
      <c r="U40" s="178"/>
      <c r="V40" s="178">
        <f t="shared" ca="1" si="4"/>
        <v>0</v>
      </c>
      <c r="W40" s="178"/>
      <c r="X40" s="178">
        <f t="shared" si="5"/>
        <v>0</v>
      </c>
      <c r="Y40" s="166">
        <f t="shared" si="1"/>
        <v>0</v>
      </c>
      <c r="AA40" s="460" t="b">
        <f t="shared" si="6"/>
        <v>0</v>
      </c>
      <c r="AB40" s="257" t="b">
        <f t="shared" si="7"/>
        <v>0</v>
      </c>
      <c r="AC40" s="459">
        <f t="shared" si="8"/>
        <v>0</v>
      </c>
      <c r="AD40" s="460" t="b">
        <f t="shared" si="9"/>
        <v>0</v>
      </c>
      <c r="AE40" s="257" t="b">
        <f t="shared" si="11"/>
        <v>0</v>
      </c>
      <c r="AF40" s="257" t="b">
        <f t="shared" si="11"/>
        <v>0</v>
      </c>
      <c r="AG40" s="459">
        <f t="shared" si="10"/>
        <v>0</v>
      </c>
    </row>
    <row r="41" spans="1:33" x14ac:dyDescent="0.2">
      <c r="A41" s="494"/>
      <c r="B41" s="686"/>
      <c r="C41" s="687"/>
      <c r="D41" s="687"/>
      <c r="E41" s="686"/>
      <c r="F41" s="687"/>
      <c r="G41" s="687"/>
      <c r="H41" s="686"/>
      <c r="I41" s="687"/>
      <c r="J41" s="687"/>
      <c r="K41" s="687"/>
      <c r="L41" s="495"/>
      <c r="M41" s="164" t="str">
        <f t="shared" ca="1" si="0"/>
        <v/>
      </c>
      <c r="N41" s="161"/>
      <c r="O41" s="163" t="str">
        <f t="shared" ca="1" si="3"/>
        <v xml:space="preserve"> </v>
      </c>
      <c r="P41" s="168"/>
      <c r="Q41" s="629"/>
      <c r="R41" s="629"/>
      <c r="S41" s="629"/>
      <c r="T41" s="629"/>
      <c r="U41" s="178"/>
      <c r="V41" s="178">
        <f t="shared" ca="1" si="4"/>
        <v>0</v>
      </c>
      <c r="W41" s="178"/>
      <c r="X41" s="178">
        <f t="shared" si="5"/>
        <v>0</v>
      </c>
      <c r="Y41" s="166">
        <f t="shared" si="1"/>
        <v>0</v>
      </c>
      <c r="AA41" s="460" t="b">
        <f t="shared" si="6"/>
        <v>0</v>
      </c>
      <c r="AB41" s="257" t="b">
        <f t="shared" si="7"/>
        <v>0</v>
      </c>
      <c r="AC41" s="459">
        <f t="shared" si="8"/>
        <v>0</v>
      </c>
      <c r="AD41" s="460" t="b">
        <f t="shared" si="9"/>
        <v>0</v>
      </c>
      <c r="AE41" s="257" t="b">
        <f t="shared" si="11"/>
        <v>0</v>
      </c>
      <c r="AF41" s="257" t="b">
        <f t="shared" si="11"/>
        <v>0</v>
      </c>
      <c r="AG41" s="459">
        <f t="shared" si="10"/>
        <v>0</v>
      </c>
    </row>
    <row r="42" spans="1:33" x14ac:dyDescent="0.2">
      <c r="A42" s="494"/>
      <c r="B42" s="686"/>
      <c r="C42" s="687"/>
      <c r="D42" s="687"/>
      <c r="E42" s="686"/>
      <c r="F42" s="687"/>
      <c r="G42" s="687"/>
      <c r="H42" s="686"/>
      <c r="I42" s="687"/>
      <c r="J42" s="687"/>
      <c r="K42" s="687"/>
      <c r="L42" s="495"/>
      <c r="M42" s="164" t="str">
        <f t="shared" ca="1" si="0"/>
        <v/>
      </c>
      <c r="N42" s="161"/>
      <c r="O42" s="163" t="str">
        <f t="shared" ca="1" si="3"/>
        <v xml:space="preserve"> </v>
      </c>
      <c r="P42" s="168"/>
      <c r="Q42" s="629"/>
      <c r="R42" s="629"/>
      <c r="S42" s="629"/>
      <c r="T42" s="629"/>
      <c r="U42" s="178"/>
      <c r="V42" s="178">
        <f t="shared" ca="1" si="4"/>
        <v>0</v>
      </c>
      <c r="W42" s="178"/>
      <c r="X42" s="178">
        <f t="shared" si="5"/>
        <v>0</v>
      </c>
      <c r="Y42" s="166">
        <f t="shared" si="1"/>
        <v>0</v>
      </c>
      <c r="AA42" s="460" t="b">
        <f t="shared" si="6"/>
        <v>0</v>
      </c>
      <c r="AB42" s="257" t="b">
        <f t="shared" si="7"/>
        <v>0</v>
      </c>
      <c r="AC42" s="459">
        <f t="shared" si="8"/>
        <v>0</v>
      </c>
      <c r="AD42" s="460" t="b">
        <f t="shared" si="9"/>
        <v>0</v>
      </c>
      <c r="AE42" s="257" t="b">
        <f t="shared" si="11"/>
        <v>0</v>
      </c>
      <c r="AF42" s="257" t="b">
        <f t="shared" si="11"/>
        <v>0</v>
      </c>
      <c r="AG42" s="459">
        <f t="shared" si="10"/>
        <v>0</v>
      </c>
    </row>
    <row r="43" spans="1:33" x14ac:dyDescent="0.2">
      <c r="A43" s="494"/>
      <c r="B43" s="686"/>
      <c r="C43" s="687"/>
      <c r="D43" s="687"/>
      <c r="E43" s="686"/>
      <c r="F43" s="687"/>
      <c r="G43" s="687"/>
      <c r="H43" s="686"/>
      <c r="I43" s="687"/>
      <c r="J43" s="687"/>
      <c r="K43" s="687"/>
      <c r="L43" s="495"/>
      <c r="M43" s="164" t="str">
        <f t="shared" ca="1" si="0"/>
        <v/>
      </c>
      <c r="N43" s="161"/>
      <c r="O43" s="163" t="str">
        <f t="shared" ca="1" si="3"/>
        <v xml:space="preserve"> </v>
      </c>
      <c r="P43" s="168"/>
      <c r="Q43" s="629"/>
      <c r="R43" s="629"/>
      <c r="S43" s="629"/>
      <c r="T43" s="629"/>
      <c r="U43" s="178"/>
      <c r="V43" s="178">
        <f t="shared" ca="1" si="4"/>
        <v>0</v>
      </c>
      <c r="W43" s="178"/>
      <c r="X43" s="178">
        <f t="shared" si="5"/>
        <v>0</v>
      </c>
      <c r="Y43" s="166">
        <f t="shared" si="1"/>
        <v>0</v>
      </c>
      <c r="AA43" s="460" t="b">
        <f t="shared" si="6"/>
        <v>0</v>
      </c>
      <c r="AB43" s="257" t="b">
        <f t="shared" si="7"/>
        <v>0</v>
      </c>
      <c r="AC43" s="459">
        <f t="shared" si="8"/>
        <v>0</v>
      </c>
      <c r="AD43" s="460" t="b">
        <f t="shared" si="9"/>
        <v>0</v>
      </c>
      <c r="AE43" s="257" t="b">
        <f t="shared" si="11"/>
        <v>0</v>
      </c>
      <c r="AF43" s="257" t="b">
        <f t="shared" si="11"/>
        <v>0</v>
      </c>
      <c r="AG43" s="459">
        <f t="shared" si="10"/>
        <v>0</v>
      </c>
    </row>
    <row r="44" spans="1:33" x14ac:dyDescent="0.2">
      <c r="A44" s="494"/>
      <c r="B44" s="686"/>
      <c r="C44" s="687"/>
      <c r="D44" s="687"/>
      <c r="E44" s="686"/>
      <c r="F44" s="687"/>
      <c r="G44" s="687"/>
      <c r="H44" s="686"/>
      <c r="I44" s="687"/>
      <c r="J44" s="687"/>
      <c r="K44" s="687"/>
      <c r="L44" s="495"/>
      <c r="M44" s="164" t="str">
        <f t="shared" ca="1" si="0"/>
        <v/>
      </c>
      <c r="N44" s="161"/>
      <c r="O44" s="163" t="str">
        <f t="shared" ca="1" si="3"/>
        <v xml:space="preserve"> </v>
      </c>
      <c r="P44" s="168"/>
      <c r="Q44" s="629"/>
      <c r="R44" s="629"/>
      <c r="S44" s="629"/>
      <c r="T44" s="629"/>
      <c r="U44" s="178"/>
      <c r="V44" s="178">
        <f t="shared" ca="1" si="4"/>
        <v>0</v>
      </c>
      <c r="W44" s="178"/>
      <c r="X44" s="178">
        <f t="shared" si="5"/>
        <v>0</v>
      </c>
      <c r="Y44" s="166">
        <f t="shared" si="1"/>
        <v>0</v>
      </c>
      <c r="AA44" s="460" t="b">
        <f t="shared" si="6"/>
        <v>0</v>
      </c>
      <c r="AB44" s="257" t="b">
        <f t="shared" si="7"/>
        <v>0</v>
      </c>
      <c r="AC44" s="459">
        <f t="shared" si="8"/>
        <v>0</v>
      </c>
      <c r="AD44" s="460" t="b">
        <f t="shared" si="9"/>
        <v>0</v>
      </c>
      <c r="AE44" s="257" t="b">
        <f t="shared" si="11"/>
        <v>0</v>
      </c>
      <c r="AF44" s="257" t="b">
        <f t="shared" si="11"/>
        <v>0</v>
      </c>
      <c r="AG44" s="459">
        <f t="shared" si="10"/>
        <v>0</v>
      </c>
    </row>
    <row r="45" spans="1:33" x14ac:dyDescent="0.2">
      <c r="A45" s="494"/>
      <c r="B45" s="686"/>
      <c r="C45" s="687"/>
      <c r="D45" s="687"/>
      <c r="E45" s="686"/>
      <c r="F45" s="687"/>
      <c r="G45" s="687"/>
      <c r="H45" s="686"/>
      <c r="I45" s="687"/>
      <c r="J45" s="687"/>
      <c r="K45" s="687"/>
      <c r="L45" s="495"/>
      <c r="M45" s="164" t="str">
        <f t="shared" ca="1" si="0"/>
        <v/>
      </c>
      <c r="N45" s="161"/>
      <c r="O45" s="163" t="str">
        <f t="shared" ca="1" si="3"/>
        <v xml:space="preserve"> </v>
      </c>
      <c r="P45" s="168"/>
      <c r="Q45" s="629"/>
      <c r="R45" s="629"/>
      <c r="S45" s="629"/>
      <c r="T45" s="629"/>
      <c r="U45" s="178"/>
      <c r="V45" s="178">
        <f t="shared" ca="1" si="4"/>
        <v>0</v>
      </c>
      <c r="W45" s="178"/>
      <c r="X45" s="178">
        <f t="shared" si="5"/>
        <v>0</v>
      </c>
      <c r="Y45" s="166">
        <f t="shared" si="1"/>
        <v>0</v>
      </c>
      <c r="AA45" s="460" t="b">
        <f t="shared" si="6"/>
        <v>0</v>
      </c>
      <c r="AB45" s="257" t="b">
        <f t="shared" si="7"/>
        <v>0</v>
      </c>
      <c r="AC45" s="459">
        <f t="shared" si="8"/>
        <v>0</v>
      </c>
      <c r="AD45" s="460" t="b">
        <f t="shared" si="9"/>
        <v>0</v>
      </c>
      <c r="AE45" s="257" t="b">
        <f t="shared" si="11"/>
        <v>0</v>
      </c>
      <c r="AF45" s="257" t="b">
        <f t="shared" si="11"/>
        <v>0</v>
      </c>
      <c r="AG45" s="459">
        <f t="shared" si="10"/>
        <v>0</v>
      </c>
    </row>
    <row r="46" spans="1:33" x14ac:dyDescent="0.2">
      <c r="A46" s="494"/>
      <c r="B46" s="686"/>
      <c r="C46" s="687"/>
      <c r="D46" s="687"/>
      <c r="E46" s="686"/>
      <c r="F46" s="687"/>
      <c r="G46" s="687"/>
      <c r="H46" s="686"/>
      <c r="I46" s="687"/>
      <c r="J46" s="687"/>
      <c r="K46" s="687"/>
      <c r="L46" s="495"/>
      <c r="M46" s="164" t="str">
        <f t="shared" ca="1" si="0"/>
        <v/>
      </c>
      <c r="N46" s="161"/>
      <c r="O46" s="163" t="str">
        <f t="shared" ca="1" si="3"/>
        <v xml:space="preserve"> </v>
      </c>
      <c r="P46" s="168"/>
      <c r="Q46" s="629"/>
      <c r="R46" s="629"/>
      <c r="S46" s="629"/>
      <c r="T46" s="629"/>
      <c r="U46" s="178"/>
      <c r="V46" s="178">
        <f t="shared" ca="1" si="4"/>
        <v>0</v>
      </c>
      <c r="W46" s="178"/>
      <c r="X46" s="178">
        <f t="shared" si="5"/>
        <v>0</v>
      </c>
      <c r="Y46" s="166">
        <f t="shared" si="1"/>
        <v>0</v>
      </c>
      <c r="AA46" s="460" t="b">
        <f t="shared" si="6"/>
        <v>0</v>
      </c>
      <c r="AB46" s="257" t="b">
        <f t="shared" si="7"/>
        <v>0</v>
      </c>
      <c r="AC46" s="459">
        <f t="shared" si="8"/>
        <v>0</v>
      </c>
      <c r="AD46" s="460" t="b">
        <f t="shared" si="9"/>
        <v>0</v>
      </c>
      <c r="AE46" s="257" t="b">
        <f t="shared" si="11"/>
        <v>0</v>
      </c>
      <c r="AF46" s="257" t="b">
        <f t="shared" si="11"/>
        <v>0</v>
      </c>
      <c r="AG46" s="459">
        <f t="shared" si="10"/>
        <v>0</v>
      </c>
    </row>
    <row r="47" spans="1:33" x14ac:dyDescent="0.2">
      <c r="A47" s="494"/>
      <c r="B47" s="686"/>
      <c r="C47" s="687"/>
      <c r="D47" s="687"/>
      <c r="E47" s="686"/>
      <c r="F47" s="687"/>
      <c r="G47" s="687"/>
      <c r="H47" s="686"/>
      <c r="I47" s="687"/>
      <c r="J47" s="687"/>
      <c r="K47" s="687"/>
      <c r="L47" s="495"/>
      <c r="M47" s="164" t="str">
        <f t="shared" ca="1" si="0"/>
        <v/>
      </c>
      <c r="N47" s="161"/>
      <c r="O47" s="163" t="str">
        <f t="shared" ca="1" si="3"/>
        <v xml:space="preserve"> </v>
      </c>
      <c r="P47" s="168"/>
      <c r="Q47" s="629"/>
      <c r="R47" s="629"/>
      <c r="S47" s="629"/>
      <c r="T47" s="629"/>
      <c r="U47" s="178"/>
      <c r="V47" s="178">
        <f t="shared" ca="1" si="4"/>
        <v>0</v>
      </c>
      <c r="W47" s="178"/>
      <c r="X47" s="178">
        <f t="shared" si="5"/>
        <v>0</v>
      </c>
      <c r="Y47" s="166">
        <f t="shared" si="1"/>
        <v>0</v>
      </c>
      <c r="AA47" s="460" t="b">
        <f t="shared" si="6"/>
        <v>0</v>
      </c>
      <c r="AB47" s="257" t="b">
        <f t="shared" si="7"/>
        <v>0</v>
      </c>
      <c r="AC47" s="459">
        <f t="shared" si="8"/>
        <v>0</v>
      </c>
      <c r="AD47" s="460" t="b">
        <f t="shared" si="9"/>
        <v>0</v>
      </c>
      <c r="AE47" s="257" t="b">
        <f t="shared" si="11"/>
        <v>0</v>
      </c>
      <c r="AF47" s="257" t="b">
        <f t="shared" si="11"/>
        <v>0</v>
      </c>
      <c r="AG47" s="459">
        <f t="shared" si="10"/>
        <v>0</v>
      </c>
    </row>
    <row r="48" spans="1:33" x14ac:dyDescent="0.2">
      <c r="A48" s="494"/>
      <c r="B48" s="686"/>
      <c r="C48" s="687"/>
      <c r="D48" s="687"/>
      <c r="E48" s="686"/>
      <c r="F48" s="687"/>
      <c r="G48" s="687"/>
      <c r="H48" s="686"/>
      <c r="I48" s="687"/>
      <c r="J48" s="687"/>
      <c r="K48" s="687"/>
      <c r="L48" s="495"/>
      <c r="M48" s="164" t="str">
        <f t="shared" ca="1" si="0"/>
        <v/>
      </c>
      <c r="N48" s="161"/>
      <c r="O48" s="163" t="str">
        <f t="shared" ca="1" si="3"/>
        <v xml:space="preserve"> </v>
      </c>
      <c r="P48" s="168"/>
      <c r="Q48" s="629"/>
      <c r="R48" s="629"/>
      <c r="S48" s="629"/>
      <c r="T48" s="629"/>
      <c r="U48" s="178"/>
      <c r="V48" s="178">
        <f t="shared" ca="1" si="4"/>
        <v>0</v>
      </c>
      <c r="W48" s="178"/>
      <c r="X48" s="178">
        <f t="shared" si="5"/>
        <v>0</v>
      </c>
      <c r="Y48" s="166">
        <f t="shared" si="1"/>
        <v>0</v>
      </c>
      <c r="AA48" s="460" t="b">
        <f t="shared" si="6"/>
        <v>0</v>
      </c>
      <c r="AB48" s="257" t="b">
        <f t="shared" si="7"/>
        <v>0</v>
      </c>
      <c r="AC48" s="459">
        <f t="shared" si="8"/>
        <v>0</v>
      </c>
      <c r="AD48" s="460" t="b">
        <f t="shared" si="9"/>
        <v>0</v>
      </c>
      <c r="AE48" s="257" t="b">
        <f t="shared" si="11"/>
        <v>0</v>
      </c>
      <c r="AF48" s="257" t="b">
        <f t="shared" si="11"/>
        <v>0</v>
      </c>
      <c r="AG48" s="459">
        <f t="shared" si="10"/>
        <v>0</v>
      </c>
    </row>
    <row r="49" spans="1:33" x14ac:dyDescent="0.2">
      <c r="A49" s="494"/>
      <c r="B49" s="686"/>
      <c r="C49" s="687"/>
      <c r="D49" s="687"/>
      <c r="E49" s="686"/>
      <c r="F49" s="687"/>
      <c r="G49" s="687"/>
      <c r="H49" s="686"/>
      <c r="I49" s="687"/>
      <c r="J49" s="687"/>
      <c r="K49" s="687"/>
      <c r="L49" s="495"/>
      <c r="M49" s="164" t="str">
        <f t="shared" ca="1" si="0"/>
        <v/>
      </c>
      <c r="N49" s="161"/>
      <c r="O49" s="163" t="str">
        <f t="shared" ca="1" si="3"/>
        <v xml:space="preserve"> </v>
      </c>
      <c r="P49" s="168"/>
      <c r="Q49" s="629"/>
      <c r="R49" s="629"/>
      <c r="S49" s="629"/>
      <c r="T49" s="629"/>
      <c r="U49" s="178"/>
      <c r="V49" s="178">
        <f t="shared" ca="1" si="4"/>
        <v>0</v>
      </c>
      <c r="W49" s="178"/>
      <c r="X49" s="178">
        <f t="shared" si="5"/>
        <v>0</v>
      </c>
      <c r="Y49" s="166">
        <f t="shared" si="1"/>
        <v>0</v>
      </c>
      <c r="AA49" s="460" t="b">
        <f t="shared" si="6"/>
        <v>0</v>
      </c>
      <c r="AB49" s="257" t="b">
        <f t="shared" si="7"/>
        <v>0</v>
      </c>
      <c r="AC49" s="459">
        <f t="shared" si="8"/>
        <v>0</v>
      </c>
      <c r="AD49" s="460" t="b">
        <f t="shared" si="9"/>
        <v>0</v>
      </c>
      <c r="AE49" s="257" t="b">
        <f t="shared" si="11"/>
        <v>0</v>
      </c>
      <c r="AF49" s="257" t="b">
        <f t="shared" si="11"/>
        <v>0</v>
      </c>
      <c r="AG49" s="459">
        <f t="shared" si="10"/>
        <v>0</v>
      </c>
    </row>
    <row r="50" spans="1:33" x14ac:dyDescent="0.2">
      <c r="A50" s="494"/>
      <c r="B50" s="686"/>
      <c r="C50" s="687"/>
      <c r="D50" s="687"/>
      <c r="E50" s="686"/>
      <c r="F50" s="687"/>
      <c r="G50" s="687"/>
      <c r="H50" s="686"/>
      <c r="I50" s="687"/>
      <c r="J50" s="687"/>
      <c r="K50" s="687"/>
      <c r="L50" s="495"/>
      <c r="M50" s="164" t="str">
        <f t="shared" ca="1" si="0"/>
        <v/>
      </c>
      <c r="N50" s="161"/>
      <c r="O50" s="163" t="str">
        <f t="shared" ca="1" si="3"/>
        <v xml:space="preserve"> </v>
      </c>
      <c r="P50" s="168"/>
      <c r="Q50" s="629"/>
      <c r="R50" s="629"/>
      <c r="S50" s="629"/>
      <c r="T50" s="629"/>
      <c r="U50" s="178"/>
      <c r="V50" s="178">
        <f t="shared" ca="1" si="4"/>
        <v>0</v>
      </c>
      <c r="W50" s="178"/>
      <c r="X50" s="178">
        <f t="shared" si="5"/>
        <v>0</v>
      </c>
      <c r="Y50" s="166">
        <f t="shared" si="1"/>
        <v>0</v>
      </c>
      <c r="AA50" s="460" t="b">
        <f t="shared" si="6"/>
        <v>0</v>
      </c>
      <c r="AB50" s="257" t="b">
        <f t="shared" si="7"/>
        <v>0</v>
      </c>
      <c r="AC50" s="459">
        <f t="shared" si="8"/>
        <v>0</v>
      </c>
      <c r="AD50" s="460" t="b">
        <f t="shared" si="9"/>
        <v>0</v>
      </c>
      <c r="AE50" s="257" t="b">
        <f t="shared" si="11"/>
        <v>0</v>
      </c>
      <c r="AF50" s="257" t="b">
        <f t="shared" si="11"/>
        <v>0</v>
      </c>
      <c r="AG50" s="459">
        <f t="shared" si="10"/>
        <v>0</v>
      </c>
    </row>
    <row r="51" spans="1:33" x14ac:dyDescent="0.2">
      <c r="A51" s="494"/>
      <c r="B51" s="686"/>
      <c r="C51" s="687"/>
      <c r="D51" s="687"/>
      <c r="E51" s="686"/>
      <c r="F51" s="687"/>
      <c r="G51" s="687"/>
      <c r="H51" s="686"/>
      <c r="I51" s="687"/>
      <c r="J51" s="687"/>
      <c r="K51" s="687"/>
      <c r="L51" s="495"/>
      <c r="M51" s="164" t="str">
        <f t="shared" ca="1" si="0"/>
        <v/>
      </c>
      <c r="N51" s="161"/>
      <c r="O51" s="163" t="str">
        <f t="shared" ca="1" si="3"/>
        <v xml:space="preserve"> </v>
      </c>
      <c r="P51" s="168"/>
      <c r="Q51" s="629"/>
      <c r="R51" s="629"/>
      <c r="S51" s="629"/>
      <c r="T51" s="629"/>
      <c r="U51" s="178"/>
      <c r="V51" s="178">
        <f t="shared" ca="1" si="4"/>
        <v>0</v>
      </c>
      <c r="W51" s="178"/>
      <c r="X51" s="178">
        <f t="shared" si="5"/>
        <v>0</v>
      </c>
      <c r="Y51" s="166">
        <f t="shared" si="1"/>
        <v>0</v>
      </c>
      <c r="AA51" s="460" t="b">
        <f t="shared" si="6"/>
        <v>0</v>
      </c>
      <c r="AB51" s="257" t="b">
        <f t="shared" si="7"/>
        <v>0</v>
      </c>
      <c r="AC51" s="459">
        <f t="shared" si="8"/>
        <v>0</v>
      </c>
      <c r="AD51" s="460" t="b">
        <f t="shared" si="9"/>
        <v>0</v>
      </c>
      <c r="AE51" s="257" t="b">
        <f t="shared" si="11"/>
        <v>0</v>
      </c>
      <c r="AF51" s="257" t="b">
        <f t="shared" si="11"/>
        <v>0</v>
      </c>
      <c r="AG51" s="459">
        <f t="shared" si="10"/>
        <v>0</v>
      </c>
    </row>
    <row r="52" spans="1:33" x14ac:dyDescent="0.2">
      <c r="A52" s="494"/>
      <c r="B52" s="686"/>
      <c r="C52" s="687"/>
      <c r="D52" s="687"/>
      <c r="E52" s="686"/>
      <c r="F52" s="687"/>
      <c r="G52" s="687"/>
      <c r="H52" s="686"/>
      <c r="I52" s="687"/>
      <c r="J52" s="687"/>
      <c r="K52" s="687"/>
      <c r="L52" s="495"/>
      <c r="M52" s="164" t="str">
        <f t="shared" ca="1" si="0"/>
        <v/>
      </c>
      <c r="N52" s="161"/>
      <c r="O52" s="163" t="str">
        <f t="shared" ca="1" si="3"/>
        <v xml:space="preserve"> </v>
      </c>
      <c r="P52" s="168"/>
      <c r="Q52" s="629"/>
      <c r="R52" s="629"/>
      <c r="S52" s="629"/>
      <c r="T52" s="629"/>
      <c r="U52" s="178"/>
      <c r="V52" s="178">
        <f t="shared" ca="1" si="4"/>
        <v>0</v>
      </c>
      <c r="W52" s="178"/>
      <c r="X52" s="178">
        <f t="shared" si="5"/>
        <v>0</v>
      </c>
      <c r="Y52" s="166">
        <f t="shared" si="1"/>
        <v>0</v>
      </c>
      <c r="AA52" s="460" t="b">
        <f t="shared" si="6"/>
        <v>0</v>
      </c>
      <c r="AB52" s="257" t="b">
        <f t="shared" si="7"/>
        <v>0</v>
      </c>
      <c r="AC52" s="459">
        <f t="shared" si="8"/>
        <v>0</v>
      </c>
      <c r="AD52" s="460" t="b">
        <f t="shared" si="9"/>
        <v>0</v>
      </c>
      <c r="AE52" s="257" t="b">
        <f t="shared" si="11"/>
        <v>0</v>
      </c>
      <c r="AF52" s="257" t="b">
        <f t="shared" si="11"/>
        <v>0</v>
      </c>
      <c r="AG52" s="459">
        <f t="shared" si="10"/>
        <v>0</v>
      </c>
    </row>
    <row r="53" spans="1:33" x14ac:dyDescent="0.2">
      <c r="A53" s="494"/>
      <c r="B53" s="686"/>
      <c r="C53" s="687"/>
      <c r="D53" s="687"/>
      <c r="E53" s="686"/>
      <c r="F53" s="687"/>
      <c r="G53" s="687"/>
      <c r="H53" s="686"/>
      <c r="I53" s="687"/>
      <c r="J53" s="687"/>
      <c r="K53" s="687"/>
      <c r="L53" s="495"/>
      <c r="M53" s="164" t="str">
        <f t="shared" ca="1" si="0"/>
        <v/>
      </c>
      <c r="N53" s="161"/>
      <c r="O53" s="163" t="str">
        <f t="shared" ca="1" si="3"/>
        <v xml:space="preserve"> </v>
      </c>
      <c r="P53" s="168"/>
      <c r="Q53" s="629"/>
      <c r="R53" s="629"/>
      <c r="S53" s="629"/>
      <c r="T53" s="629"/>
      <c r="U53" s="178"/>
      <c r="V53" s="178">
        <f t="shared" ca="1" si="4"/>
        <v>0</v>
      </c>
      <c r="W53" s="178"/>
      <c r="X53" s="178">
        <f t="shared" si="5"/>
        <v>0</v>
      </c>
      <c r="Y53" s="166">
        <f t="shared" si="1"/>
        <v>0</v>
      </c>
      <c r="AA53" s="460" t="b">
        <f t="shared" si="6"/>
        <v>0</v>
      </c>
      <c r="AB53" s="257" t="b">
        <f t="shared" si="7"/>
        <v>0</v>
      </c>
      <c r="AC53" s="459">
        <f t="shared" si="8"/>
        <v>0</v>
      </c>
      <c r="AD53" s="460" t="b">
        <f t="shared" si="9"/>
        <v>0</v>
      </c>
      <c r="AE53" s="257" t="b">
        <f t="shared" si="11"/>
        <v>0</v>
      </c>
      <c r="AF53" s="257" t="b">
        <f t="shared" si="11"/>
        <v>0</v>
      </c>
      <c r="AG53" s="459">
        <f t="shared" si="10"/>
        <v>0</v>
      </c>
    </row>
    <row r="54" spans="1:33" x14ac:dyDescent="0.2">
      <c r="A54" s="494"/>
      <c r="B54" s="686"/>
      <c r="C54" s="687"/>
      <c r="D54" s="687"/>
      <c r="E54" s="686"/>
      <c r="F54" s="687"/>
      <c r="G54" s="687"/>
      <c r="H54" s="686"/>
      <c r="I54" s="687"/>
      <c r="J54" s="687"/>
      <c r="K54" s="687"/>
      <c r="L54" s="495"/>
      <c r="M54" s="164" t="str">
        <f t="shared" ca="1" si="0"/>
        <v/>
      </c>
      <c r="N54" s="161"/>
      <c r="O54" s="163" t="str">
        <f t="shared" ca="1" si="3"/>
        <v xml:space="preserve"> </v>
      </c>
      <c r="P54" s="168"/>
      <c r="Q54" s="629"/>
      <c r="R54" s="629"/>
      <c r="S54" s="629"/>
      <c r="T54" s="629"/>
      <c r="U54" s="178"/>
      <c r="V54" s="178">
        <f t="shared" ca="1" si="4"/>
        <v>0</v>
      </c>
      <c r="W54" s="178"/>
      <c r="X54" s="178">
        <f t="shared" si="5"/>
        <v>0</v>
      </c>
      <c r="Y54" s="166">
        <f t="shared" si="1"/>
        <v>0</v>
      </c>
      <c r="AA54" s="461" t="b">
        <f t="shared" si="6"/>
        <v>0</v>
      </c>
      <c r="AB54" s="462" t="b">
        <f t="shared" si="7"/>
        <v>0</v>
      </c>
      <c r="AC54" s="463">
        <f t="shared" si="8"/>
        <v>0</v>
      </c>
      <c r="AD54" s="461" t="b">
        <f t="shared" si="9"/>
        <v>0</v>
      </c>
      <c r="AE54" s="462" t="b">
        <f t="shared" si="11"/>
        <v>0</v>
      </c>
      <c r="AF54" s="462" t="b">
        <f t="shared" si="11"/>
        <v>0</v>
      </c>
      <c r="AG54" s="463">
        <f t="shared" si="10"/>
        <v>0</v>
      </c>
    </row>
    <row r="55" spans="1:33" ht="13.5" thickBot="1" x14ac:dyDescent="0.25">
      <c r="K55" s="5" t="s">
        <v>51</v>
      </c>
      <c r="L55" s="47" t="str">
        <f>IF(M57&gt;3,SUM(L17:L54)-V55,"Please fill in")</f>
        <v>Please fill in</v>
      </c>
      <c r="M55" s="68"/>
      <c r="N55" s="155">
        <f>COUNTIF(N17:N54,"x")</f>
        <v>0</v>
      </c>
      <c r="U55" s="179">
        <f>SUM(U17:U54)+X55</f>
        <v>0</v>
      </c>
      <c r="V55" s="163">
        <f ca="1">SUM(V17:V54)</f>
        <v>0</v>
      </c>
      <c r="W55" s="163">
        <f>COUNTA(W17:W54)</f>
        <v>0</v>
      </c>
      <c r="X55" s="163">
        <f>SUM(X17:X54)</f>
        <v>0</v>
      </c>
      <c r="Y55" s="206">
        <f>SUM(Y17:Y54)</f>
        <v>0</v>
      </c>
      <c r="AD55" s="476">
        <f>COUNTIF(AD17:AD54,"true")</f>
        <v>0</v>
      </c>
      <c r="AE55" s="476">
        <f>COUNTIF(AE17:AE54,"true")</f>
        <v>0</v>
      </c>
      <c r="AF55" s="476">
        <f>COUNTIF(AF17:AF54,"true")</f>
        <v>0</v>
      </c>
    </row>
    <row r="56" spans="1:33" ht="13.5" customHeight="1" thickTop="1" x14ac:dyDescent="0.2">
      <c r="A56" s="675" t="str">
        <f>IF(L56&gt;0,"DON’T FORGET TO ATTACH YOUR RECEIPT DOCUMENTATION TO THE EMAIL","")</f>
        <v/>
      </c>
      <c r="B56" s="675"/>
      <c r="C56" s="675"/>
      <c r="D56" s="675"/>
      <c r="E56" s="675"/>
      <c r="F56" s="742" t="str">
        <f>IF(AND(AD55&gt;0,AE55&gt;0,AF55&gt;0),AD59,IF(AND(AD55&gt;0,AF55&gt;0),AD58,IF(AND(AD55&gt;0,AE55&gt;0),AD60,IF(AND(AE55&gt;0,AF55&gt;0),AD61,IF(AD55&gt;0,AD56,IF(AF55&gt;0,AF56,IF(AE55&gt;0,AE56,"")))))))</f>
        <v/>
      </c>
      <c r="G56" s="742"/>
      <c r="H56" s="742"/>
      <c r="K56" s="396" t="s">
        <v>1652</v>
      </c>
      <c r="L56" s="158">
        <f>IF(FundCode&lt;&gt;500,COUNT(L16:L52),IF(M57&gt;3,SUM(O17:O54),0))</f>
        <v>0</v>
      </c>
      <c r="M56" s="68"/>
      <c r="N56" s="68"/>
      <c r="AD56" s="476" t="s">
        <v>1670</v>
      </c>
      <c r="AE56" s="476" t="s">
        <v>1671</v>
      </c>
      <c r="AF56" s="476" t="s">
        <v>1668</v>
      </c>
    </row>
    <row r="57" spans="1:33" ht="19.5" customHeight="1" x14ac:dyDescent="0.2">
      <c r="A57" s="675"/>
      <c r="B57" s="675"/>
      <c r="C57" s="675"/>
      <c r="D57" s="675"/>
      <c r="E57" s="675"/>
      <c r="F57" s="742"/>
      <c r="G57" s="742"/>
      <c r="H57" s="742"/>
      <c r="L57" s="286" t="str">
        <f>IF(L55="please fill in","yellow spaces","")</f>
        <v>yellow spaces</v>
      </c>
      <c r="M57" s="224">
        <f>Summary!O12</f>
        <v>1</v>
      </c>
      <c r="N57" s="68"/>
    </row>
    <row r="58" spans="1:33" ht="22.5" customHeight="1" x14ac:dyDescent="0.2">
      <c r="A58" s="675"/>
      <c r="B58" s="675"/>
      <c r="C58" s="675"/>
      <c r="D58" s="675"/>
      <c r="E58" s="675"/>
      <c r="F58" s="742"/>
      <c r="G58" s="742"/>
      <c r="H58" s="742"/>
      <c r="K58" s="11" t="s">
        <v>683</v>
      </c>
      <c r="L58" s="45" t="str">
        <f>IF(M57&gt;3,L55+U55,"on summary page")</f>
        <v>on summary page</v>
      </c>
      <c r="M58" s="68"/>
      <c r="N58" s="68"/>
      <c r="AD58" t="str">
        <f>AD56&amp;", "&amp;AF56</f>
        <v>Please Explain Ministry Purpose., Please indicate how the study impacts ministry.</v>
      </c>
    </row>
    <row r="59" spans="1:33" ht="12.75" customHeight="1" x14ac:dyDescent="0.3">
      <c r="A59" s="450"/>
      <c r="B59" s="450"/>
      <c r="C59" s="450"/>
      <c r="D59" s="450"/>
      <c r="E59" s="450"/>
      <c r="F59" s="450"/>
      <c r="G59" s="450"/>
      <c r="H59" s="450"/>
      <c r="AD59" t="str">
        <f>AD56&amp;", "&amp;AE56&amp;", "&amp;AF56</f>
        <v>Please Explain Ministry Purpose., Please provide donor name., Please indicate how the study impacts ministry.</v>
      </c>
    </row>
    <row r="60" spans="1:33" x14ac:dyDescent="0.2">
      <c r="AD60" t="str">
        <f>AD56&amp;" "&amp;AE56</f>
        <v>Please Explain Ministry Purpose. Please provide donor name.</v>
      </c>
    </row>
    <row r="61" spans="1:33" x14ac:dyDescent="0.2">
      <c r="AD61" t="str">
        <f>AE56&amp;", "&amp;AF56</f>
        <v>Please provide donor name., Please indicate how the study impacts ministry.</v>
      </c>
    </row>
  </sheetData>
  <sheetProtection algorithmName="SHA-512" hashValue="MZkMxetOFPLAexAF1ICq4K0WZz/0FRgMbMD+OE+Y4dTYunFQheajfEIP7HldBJ1yg3y4gimWGe45GlTxGoyyeA==" saltValue="pY3isaWZwtetiA11p2WzDA==" spinCount="100000" sheet="1" objects="1" scenarios="1"/>
  <mergeCells count="184">
    <mergeCell ref="AA15:AB15"/>
    <mergeCell ref="A56:E58"/>
    <mergeCell ref="F56:H58"/>
    <mergeCell ref="B54:D54"/>
    <mergeCell ref="E54:G54"/>
    <mergeCell ref="H54:K54"/>
    <mergeCell ref="Q54:T54"/>
    <mergeCell ref="W14:W15"/>
    <mergeCell ref="B52:D52"/>
    <mergeCell ref="E52:G52"/>
    <mergeCell ref="H52:K52"/>
    <mergeCell ref="Q52:T52"/>
    <mergeCell ref="B53:D53"/>
    <mergeCell ref="E53:G53"/>
    <mergeCell ref="H53:K53"/>
    <mergeCell ref="Q53:T53"/>
    <mergeCell ref="B50:D50"/>
    <mergeCell ref="E50:G50"/>
    <mergeCell ref="H50:K50"/>
    <mergeCell ref="Q50:T50"/>
    <mergeCell ref="B51:D51"/>
    <mergeCell ref="E51:G51"/>
    <mergeCell ref="B46:D46"/>
    <mergeCell ref="E46:G46"/>
    <mergeCell ref="H51:K51"/>
    <mergeCell ref="Q51:T51"/>
    <mergeCell ref="B48:D48"/>
    <mergeCell ref="E48:G48"/>
    <mergeCell ref="H48:K48"/>
    <mergeCell ref="Q48:T48"/>
    <mergeCell ref="B49:D49"/>
    <mergeCell ref="E49:G49"/>
    <mergeCell ref="H49:K49"/>
    <mergeCell ref="Q49:T49"/>
    <mergeCell ref="B44:D44"/>
    <mergeCell ref="E44:G44"/>
    <mergeCell ref="H44:K44"/>
    <mergeCell ref="Q44:T44"/>
    <mergeCell ref="B45:D45"/>
    <mergeCell ref="E45:G45"/>
    <mergeCell ref="H45:K45"/>
    <mergeCell ref="Q45:T45"/>
    <mergeCell ref="B47:D47"/>
    <mergeCell ref="E47:G47"/>
    <mergeCell ref="H47:K47"/>
    <mergeCell ref="Q47:T47"/>
    <mergeCell ref="H46:K46"/>
    <mergeCell ref="Q46:T46"/>
    <mergeCell ref="B41:D41"/>
    <mergeCell ref="E41:G41"/>
    <mergeCell ref="H41:K41"/>
    <mergeCell ref="Q41:T41"/>
    <mergeCell ref="B42:D42"/>
    <mergeCell ref="E42:G42"/>
    <mergeCell ref="H42:K42"/>
    <mergeCell ref="Q42:T42"/>
    <mergeCell ref="B43:D43"/>
    <mergeCell ref="E43:G43"/>
    <mergeCell ref="H43:K43"/>
    <mergeCell ref="Q43:T43"/>
    <mergeCell ref="B38:D38"/>
    <mergeCell ref="E38:G38"/>
    <mergeCell ref="H38:K38"/>
    <mergeCell ref="Q38:T38"/>
    <mergeCell ref="B39:D39"/>
    <mergeCell ref="E39:G39"/>
    <mergeCell ref="H39:K39"/>
    <mergeCell ref="Q39:T39"/>
    <mergeCell ref="B40:D40"/>
    <mergeCell ref="E40:G40"/>
    <mergeCell ref="H40:K40"/>
    <mergeCell ref="Q40:T40"/>
    <mergeCell ref="B35:D35"/>
    <mergeCell ref="E35:G35"/>
    <mergeCell ref="H35:K35"/>
    <mergeCell ref="Q35:T35"/>
    <mergeCell ref="B36:D36"/>
    <mergeCell ref="E36:G36"/>
    <mergeCell ref="H36:K36"/>
    <mergeCell ref="Q36:T36"/>
    <mergeCell ref="B37:D37"/>
    <mergeCell ref="E37:G37"/>
    <mergeCell ref="H37:K37"/>
    <mergeCell ref="Q37:T37"/>
    <mergeCell ref="B21:D21"/>
    <mergeCell ref="E21:G21"/>
    <mergeCell ref="H21:K21"/>
    <mergeCell ref="Q21:T21"/>
    <mergeCell ref="Q17:T17"/>
    <mergeCell ref="B18:D18"/>
    <mergeCell ref="E18:G18"/>
    <mergeCell ref="H18:K18"/>
    <mergeCell ref="Q18:T18"/>
    <mergeCell ref="B19:D19"/>
    <mergeCell ref="Q20:T20"/>
    <mergeCell ref="B20:D20"/>
    <mergeCell ref="E20:G20"/>
    <mergeCell ref="H20:K20"/>
    <mergeCell ref="E19:G19"/>
    <mergeCell ref="H19:K19"/>
    <mergeCell ref="Q19:T19"/>
    <mergeCell ref="B17:D17"/>
    <mergeCell ref="E17:G17"/>
    <mergeCell ref="H17:K17"/>
    <mergeCell ref="Y14:Y15"/>
    <mergeCell ref="P14:T14"/>
    <mergeCell ref="U14:U15"/>
    <mergeCell ref="V14:V15"/>
    <mergeCell ref="H15:K15"/>
    <mergeCell ref="Q15:T15"/>
    <mergeCell ref="X14:X15"/>
    <mergeCell ref="B14:D15"/>
    <mergeCell ref="E14:G15"/>
    <mergeCell ref="H14:K14"/>
    <mergeCell ref="G12:I12"/>
    <mergeCell ref="J7:L7"/>
    <mergeCell ref="J8:L8"/>
    <mergeCell ref="J9:L9"/>
    <mergeCell ref="J10:L10"/>
    <mergeCell ref="J11:L11"/>
    <mergeCell ref="J12:L12"/>
    <mergeCell ref="B16:D16"/>
    <mergeCell ref="E16:G16"/>
    <mergeCell ref="H16:K16"/>
    <mergeCell ref="B30:D30"/>
    <mergeCell ref="E30:G30"/>
    <mergeCell ref="H30:K30"/>
    <mergeCell ref="Q30:T30"/>
    <mergeCell ref="B31:D31"/>
    <mergeCell ref="E31:G31"/>
    <mergeCell ref="H31:K31"/>
    <mergeCell ref="Q31:T31"/>
    <mergeCell ref="B22:D22"/>
    <mergeCell ref="E22:G22"/>
    <mergeCell ref="H22:K22"/>
    <mergeCell ref="Q22:T22"/>
    <mergeCell ref="B26:D26"/>
    <mergeCell ref="E26:G26"/>
    <mergeCell ref="H26:K26"/>
    <mergeCell ref="Q26:T26"/>
    <mergeCell ref="B27:D27"/>
    <mergeCell ref="E27:G27"/>
    <mergeCell ref="H27:K27"/>
    <mergeCell ref="Q27:T27"/>
    <mergeCell ref="B28:D28"/>
    <mergeCell ref="E28:G28"/>
    <mergeCell ref="H28:K28"/>
    <mergeCell ref="Q28:T28"/>
    <mergeCell ref="B32:D32"/>
    <mergeCell ref="E32:G32"/>
    <mergeCell ref="H32:K32"/>
    <mergeCell ref="Q32:T32"/>
    <mergeCell ref="B33:D33"/>
    <mergeCell ref="E33:G33"/>
    <mergeCell ref="H33:K33"/>
    <mergeCell ref="Q33:T33"/>
    <mergeCell ref="B34:D34"/>
    <mergeCell ref="E34:G34"/>
    <mergeCell ref="H34:K34"/>
    <mergeCell ref="Q34:T34"/>
    <mergeCell ref="B29:D29"/>
    <mergeCell ref="E29:G29"/>
    <mergeCell ref="H29:K29"/>
    <mergeCell ref="Q29:T29"/>
    <mergeCell ref="A1:E1"/>
    <mergeCell ref="B23:D23"/>
    <mergeCell ref="E23:G23"/>
    <mergeCell ref="H23:K23"/>
    <mergeCell ref="Q23:T23"/>
    <mergeCell ref="B24:D24"/>
    <mergeCell ref="E24:G24"/>
    <mergeCell ref="H24:K24"/>
    <mergeCell ref="Q24:T24"/>
    <mergeCell ref="B25:D25"/>
    <mergeCell ref="E25:G25"/>
    <mergeCell ref="H25:K25"/>
    <mergeCell ref="Q25:T25"/>
    <mergeCell ref="A7:E7"/>
    <mergeCell ref="A8:E12"/>
    <mergeCell ref="G7:I7"/>
    <mergeCell ref="G8:I8"/>
    <mergeCell ref="G9:I9"/>
    <mergeCell ref="G10:I10"/>
    <mergeCell ref="G11:I11"/>
  </mergeCells>
  <conditionalFormatting sqref="L55:L56 L58">
    <cfRule type="expression" dxfId="199" priority="176">
      <formula>$L$59&lt;4</formula>
    </cfRule>
  </conditionalFormatting>
  <conditionalFormatting sqref="L55:L56 L58">
    <cfRule type="expression" dxfId="198" priority="223">
      <formula>$M$57&lt;4</formula>
    </cfRule>
  </conditionalFormatting>
  <conditionalFormatting sqref="A17:L17">
    <cfRule type="expression" dxfId="197" priority="5">
      <formula>$M17="disallow"</formula>
    </cfRule>
    <cfRule type="expression" dxfId="196" priority="13">
      <formula>$AG17&gt;0</formula>
    </cfRule>
    <cfRule type="expression" dxfId="195" priority="14">
      <formula>$AC17&gt;0</formula>
    </cfRule>
    <cfRule type="expression" dxfId="194" priority="15">
      <formula>AND($M17="disallow",$W17=0)</formula>
    </cfRule>
  </conditionalFormatting>
  <conditionalFormatting sqref="G5:J5">
    <cfRule type="expression" dxfId="193" priority="6">
      <formula>$M$15&gt;0</formula>
    </cfRule>
  </conditionalFormatting>
  <conditionalFormatting sqref="A18:L54">
    <cfRule type="expression" dxfId="192" priority="1">
      <formula>$M18="disallow"</formula>
    </cfRule>
    <cfRule type="expression" dxfId="191" priority="2">
      <formula>$AG18&gt;0</formula>
    </cfRule>
    <cfRule type="expression" dxfId="190" priority="3">
      <formula>$AC18&gt;0</formula>
    </cfRule>
    <cfRule type="expression" dxfId="189" priority="4">
      <formula>AND($M18="disallow",$W18=0)</formula>
    </cfRule>
  </conditionalFormatting>
  <dataValidations count="2">
    <dataValidation type="date" operator="greaterThan" allowBlank="1" showInputMessage="1" showErrorMessage="1" promptTitle="date format" prompt="Please use format of mm/dd/yy" sqref="A17:A54" xr:uid="{00000000-0002-0000-0A00-000000000000}">
      <formula1>40909</formula1>
    </dataValidation>
    <dataValidation operator="greaterThan" allowBlank="1" showInputMessage="1" showErrorMessage="1" prompt="Please enter a number instead of a word." sqref="L17:L54" xr:uid="{00000000-0002-0000-0A00-000001000000}"/>
  </dataValidations>
  <pageMargins left="0.7" right="0.7" top="0.75" bottom="0.75" header="0.3" footer="0.3"/>
  <pageSetup scale="65" orientation="landscape" r:id="rId1"/>
  <headerFooter>
    <oddHeader>&amp;L&amp;"Arial,Bold"&amp;12Professional Growth</oddHead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AM66"/>
  <sheetViews>
    <sheetView view="pageBreakPreview" zoomScale="75" zoomScaleNormal="100" zoomScaleSheetLayoutView="75" workbookViewId="0">
      <selection activeCell="E23" sqref="E23:G23"/>
    </sheetView>
  </sheetViews>
  <sheetFormatPr defaultRowHeight="12.75" outlineLevelCol="1" x14ac:dyDescent="0.2"/>
  <cols>
    <col min="1" max="2" width="10.7109375" customWidth="1"/>
    <col min="3" max="3" width="12.5703125" customWidth="1"/>
    <col min="4" max="4" width="10.7109375" customWidth="1"/>
    <col min="5" max="7" width="23.7109375" customWidth="1"/>
    <col min="8" max="8" width="12.42578125" customWidth="1"/>
    <col min="9" max="9" width="14" customWidth="1"/>
    <col min="10" max="10" width="13.7109375" customWidth="1"/>
    <col min="11" max="11" width="14.28515625" customWidth="1"/>
    <col min="12" max="12" width="11.7109375" style="46" customWidth="1"/>
    <col min="13" max="13" width="3.85546875" style="53" customWidth="1"/>
    <col min="14" max="14" width="2.5703125" style="53" customWidth="1"/>
    <col min="15" max="15" width="1.5703125" style="60" customWidth="1"/>
    <col min="21" max="21" width="5.28515625" customWidth="1"/>
    <col min="22" max="24" width="9.140625" style="163" customWidth="1"/>
    <col min="27" max="38" width="9.140625" hidden="1" customWidth="1" outlineLevel="1"/>
    <col min="39" max="39" width="9.140625" collapsed="1"/>
  </cols>
  <sheetData>
    <row r="1" spans="1:38" x14ac:dyDescent="0.2">
      <c r="A1" s="733" t="s">
        <v>27</v>
      </c>
      <c r="B1" s="734"/>
      <c r="C1" s="734"/>
      <c r="D1" s="734"/>
      <c r="E1" s="734"/>
      <c r="F1" s="735"/>
      <c r="J1" s="5" t="s">
        <v>80</v>
      </c>
      <c r="K1" s="4" t="str">
        <f>'Professional Growth'!K1</f>
        <v>Gordy Decker</v>
      </c>
      <c r="L1" s="45"/>
      <c r="M1" s="54"/>
      <c r="N1" s="54"/>
    </row>
    <row r="2" spans="1:38" x14ac:dyDescent="0.2">
      <c r="A2" s="736" t="s">
        <v>19</v>
      </c>
      <c r="B2" s="737"/>
      <c r="C2" s="737"/>
      <c r="D2" s="737"/>
      <c r="E2" s="737"/>
      <c r="F2" s="738"/>
      <c r="J2" s="5" t="s">
        <v>109</v>
      </c>
      <c r="K2" s="4">
        <f>'Professional Growth'!K2</f>
        <v>0</v>
      </c>
    </row>
    <row r="3" spans="1:38" x14ac:dyDescent="0.2">
      <c r="A3" s="370" t="s">
        <v>1612</v>
      </c>
      <c r="B3" s="376"/>
      <c r="C3" s="377"/>
      <c r="D3" s="375" t="s">
        <v>20</v>
      </c>
      <c r="E3" s="376"/>
      <c r="F3" s="377"/>
    </row>
    <row r="4" spans="1:38" ht="12.75" customHeight="1" x14ac:dyDescent="0.2">
      <c r="A4" s="378" t="s">
        <v>18</v>
      </c>
      <c r="B4" s="379"/>
      <c r="C4" s="380"/>
      <c r="D4" s="378" t="s">
        <v>1105</v>
      </c>
      <c r="E4" s="379"/>
      <c r="F4" s="380"/>
      <c r="H4" s="448" t="s">
        <v>1650</v>
      </c>
      <c r="J4" s="446"/>
      <c r="K4" s="446"/>
      <c r="L4" s="446"/>
      <c r="M4" s="446"/>
    </row>
    <row r="5" spans="1:38" x14ac:dyDescent="0.2">
      <c r="A5" s="381" t="s">
        <v>1106</v>
      </c>
      <c r="B5" s="382"/>
      <c r="C5" s="383"/>
      <c r="D5" s="381" t="s">
        <v>21</v>
      </c>
      <c r="E5" s="382"/>
      <c r="F5" s="383"/>
      <c r="H5" s="449" t="s">
        <v>1649</v>
      </c>
      <c r="J5" s="446"/>
      <c r="K5" s="446"/>
      <c r="L5" s="446"/>
      <c r="M5" s="446"/>
    </row>
    <row r="6" spans="1:38" x14ac:dyDescent="0.2">
      <c r="H6" s="106" t="s">
        <v>1758</v>
      </c>
    </row>
    <row r="7" spans="1:38" x14ac:dyDescent="0.2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730"/>
      <c r="K7" s="731"/>
      <c r="L7" s="732"/>
    </row>
    <row r="8" spans="1:38" x14ac:dyDescent="0.2">
      <c r="A8" s="633"/>
      <c r="B8" s="634"/>
      <c r="C8" s="634"/>
      <c r="D8" s="634"/>
      <c r="E8" s="635"/>
      <c r="G8" s="661" t="s">
        <v>115</v>
      </c>
      <c r="H8" s="662"/>
      <c r="I8" s="663"/>
      <c r="J8" s="655"/>
      <c r="K8" s="656"/>
      <c r="L8" s="657"/>
    </row>
    <row r="9" spans="1:38" x14ac:dyDescent="0.2">
      <c r="A9" s="633"/>
      <c r="B9" s="634"/>
      <c r="C9" s="634"/>
      <c r="D9" s="634"/>
      <c r="E9" s="635"/>
      <c r="G9" s="661" t="s">
        <v>116</v>
      </c>
      <c r="H9" s="662"/>
      <c r="I9" s="663"/>
      <c r="J9" s="655"/>
      <c r="K9" s="656"/>
      <c r="L9" s="657"/>
    </row>
    <row r="10" spans="1:38" x14ac:dyDescent="0.2">
      <c r="A10" s="633"/>
      <c r="B10" s="634"/>
      <c r="C10" s="634"/>
      <c r="D10" s="634"/>
      <c r="E10" s="635"/>
      <c r="G10" s="646"/>
      <c r="H10" s="647"/>
      <c r="I10" s="648"/>
      <c r="J10" s="646"/>
      <c r="K10" s="647"/>
      <c r="L10" s="648"/>
    </row>
    <row r="11" spans="1:38" x14ac:dyDescent="0.2">
      <c r="A11" s="633"/>
      <c r="B11" s="634"/>
      <c r="C11" s="634"/>
      <c r="D11" s="634"/>
      <c r="E11" s="635"/>
      <c r="G11" s="646"/>
      <c r="H11" s="647"/>
      <c r="I11" s="648"/>
      <c r="J11" s="646"/>
      <c r="K11" s="647"/>
      <c r="L11" s="648"/>
    </row>
    <row r="12" spans="1:38" x14ac:dyDescent="0.2">
      <c r="A12" s="636"/>
      <c r="B12" s="637"/>
      <c r="C12" s="637"/>
      <c r="D12" s="637"/>
      <c r="E12" s="638"/>
      <c r="G12" s="649"/>
      <c r="H12" s="650"/>
      <c r="I12" s="651"/>
      <c r="J12" s="649"/>
      <c r="K12" s="650"/>
      <c r="L12" s="651"/>
    </row>
    <row r="13" spans="1:38" x14ac:dyDescent="0.2">
      <c r="G13" s="362"/>
      <c r="H13" s="362"/>
      <c r="I13" s="362"/>
      <c r="J13" s="362"/>
      <c r="K13" s="362"/>
      <c r="L13" s="362"/>
    </row>
    <row r="14" spans="1:38" ht="15" x14ac:dyDescent="0.2">
      <c r="A14" s="35" t="s">
        <v>28</v>
      </c>
      <c r="B14" s="671" t="s">
        <v>97</v>
      </c>
      <c r="C14" s="671"/>
      <c r="D14" s="671"/>
      <c r="E14" s="15"/>
      <c r="F14" s="15"/>
      <c r="G14" s="15"/>
      <c r="H14" s="664" t="s">
        <v>30</v>
      </c>
      <c r="I14" s="664"/>
      <c r="J14" s="664"/>
      <c r="K14" s="664"/>
      <c r="L14" s="49"/>
      <c r="M14" s="67"/>
      <c r="N14" s="67"/>
      <c r="P14" s="667" t="s">
        <v>186</v>
      </c>
      <c r="Q14" s="667"/>
      <c r="R14" s="667"/>
      <c r="S14" s="667"/>
      <c r="T14" s="667"/>
      <c r="U14" s="665" t="s">
        <v>288</v>
      </c>
      <c r="V14" s="665" t="s">
        <v>292</v>
      </c>
      <c r="W14" s="665" t="s">
        <v>507</v>
      </c>
      <c r="X14" s="665"/>
      <c r="Y14" s="665" t="s">
        <v>664</v>
      </c>
    </row>
    <row r="15" spans="1:38" ht="12.75" customHeight="1" x14ac:dyDescent="0.2">
      <c r="A15" s="98" t="s">
        <v>104</v>
      </c>
      <c r="B15" s="729" t="s">
        <v>816</v>
      </c>
      <c r="C15" s="729"/>
      <c r="D15" s="729"/>
      <c r="E15" s="669" t="s">
        <v>29</v>
      </c>
      <c r="F15" s="669"/>
      <c r="G15" s="669"/>
      <c r="H15" s="670" t="s">
        <v>90</v>
      </c>
      <c r="I15" s="670"/>
      <c r="J15" s="670"/>
      <c r="K15" s="670"/>
      <c r="L15" s="57" t="s">
        <v>31</v>
      </c>
      <c r="M15" s="478">
        <f ca="1">COUNTIF(M17:M72,"disallow")</f>
        <v>0</v>
      </c>
      <c r="N15" s="67"/>
      <c r="P15" s="167" t="s">
        <v>286</v>
      </c>
      <c r="Q15" s="672" t="s">
        <v>287</v>
      </c>
      <c r="R15" s="672"/>
      <c r="S15" s="672"/>
      <c r="T15" s="672"/>
      <c r="U15" s="666"/>
      <c r="V15" s="666"/>
      <c r="W15" s="666"/>
      <c r="X15" s="666"/>
      <c r="Y15" s="666"/>
      <c r="AA15" s="690" t="s">
        <v>1656</v>
      </c>
      <c r="AB15" s="691"/>
      <c r="AC15" s="471"/>
      <c r="AD15" s="473" t="s">
        <v>1666</v>
      </c>
      <c r="AE15" s="465" t="s">
        <v>1662</v>
      </c>
      <c r="AF15" s="465" t="s">
        <v>1667</v>
      </c>
      <c r="AG15" s="471"/>
      <c r="AH15" s="464" t="s">
        <v>1654</v>
      </c>
      <c r="AI15" s="465" t="s">
        <v>181</v>
      </c>
      <c r="AJ15" s="465" t="s">
        <v>180</v>
      </c>
      <c r="AK15" s="469" t="s">
        <v>1655</v>
      </c>
      <c r="AL15" s="466"/>
    </row>
    <row r="16" spans="1:38" ht="12.75" hidden="1" customHeight="1" x14ac:dyDescent="0.2">
      <c r="A16" s="58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1"/>
      <c r="M16" s="54" t="str">
        <f>IF(L16&gt;=75,"*"," ")</f>
        <v xml:space="preserve"> </v>
      </c>
      <c r="N16" s="54"/>
      <c r="O16" s="66" t="str">
        <f>IF(L16&gt;=75,L16," ")</f>
        <v xml:space="preserve"> 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AA16" s="102"/>
      <c r="AB16" s="14"/>
      <c r="AC16" s="459"/>
      <c r="AD16" s="102"/>
      <c r="AE16" s="14"/>
      <c r="AF16" s="14"/>
      <c r="AG16" s="459"/>
      <c r="AH16" s="460"/>
      <c r="AI16" s="257"/>
      <c r="AJ16" s="257"/>
      <c r="AK16" s="257"/>
      <c r="AL16" s="467"/>
    </row>
    <row r="17" spans="1:38" x14ac:dyDescent="0.2">
      <c r="A17" s="494"/>
      <c r="B17" s="686"/>
      <c r="C17" s="687"/>
      <c r="D17" s="687"/>
      <c r="E17" s="686"/>
      <c r="F17" s="687"/>
      <c r="G17" s="687"/>
      <c r="H17" s="686"/>
      <c r="I17" s="687"/>
      <c r="J17" s="687"/>
      <c r="K17" s="687"/>
      <c r="L17" s="495"/>
      <c r="M17" s="164" t="str">
        <f t="shared" ref="M17:M59" ca="1" si="0">IF(AL17&gt;0,"***",IF(A17&gt;0,IF(submit_date&gt;0,IF(submit_date-A17&gt;60,"disallow",IF(L17&gt;=75,IF(AND(N17="",TODAY()-submit_date&gt;30),"disallow","*"),"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"))),IF(L17&gt;=75,IF(AND(N17="",TODAY()-submit_date&gt;30),"disallow","*"),"")))</f>
        <v/>
      </c>
      <c r="N17" s="161"/>
      <c r="O17" s="163" t="str">
        <f ca="1">IF(AND(L17&gt;=75,M17&lt;&gt;"disallow"),1," ")</f>
        <v xml:space="preserve"> </v>
      </c>
      <c r="P17" s="168"/>
      <c r="Q17" s="629"/>
      <c r="R17" s="629"/>
      <c r="S17" s="629"/>
      <c r="T17" s="629"/>
      <c r="U17" s="178"/>
      <c r="V17" s="178">
        <f ca="1">IF(AND(W17=0,M17="disallow"),L17,0)</f>
        <v>0</v>
      </c>
      <c r="W17" s="178"/>
      <c r="X17" s="178">
        <f>IF(W17&gt;0,-U17,0)</f>
        <v>0</v>
      </c>
      <c r="Y17" s="166">
        <f t="shared" ref="Y17:Y59" si="1">IF(AND(A17&lt;Fiscal_Start_Date,submit_date-A17&lt;90,submit_date&gt;=0),L17,0)</f>
        <v>0</v>
      </c>
      <c r="AA17" s="460" t="b">
        <f>SUMPRODUCT(--ISNUMBER(SEARCH(AA$15,$B17)))&gt;0</f>
        <v>0</v>
      </c>
      <c r="AB17" s="257" t="b">
        <f>SUMPRODUCT(--ISNUMBER(SEARCH(AA$15,$E17:$K17)))&gt;0</f>
        <v>0</v>
      </c>
      <c r="AC17" s="459">
        <f>COUNTIF(AA17:AB17,"true")</f>
        <v>0</v>
      </c>
      <c r="AD17" s="460" t="b">
        <f>SUMPRODUCT(--ISNUMBER(SEARCH(AD$15,$B17:$K17)))&gt;0</f>
        <v>0</v>
      </c>
      <c r="AE17" s="257" t="b">
        <f>SUMPRODUCT(--ISNUMBER(SEARCH(AE$15,$B17:$K17)))&gt;0</f>
        <v>0</v>
      </c>
      <c r="AF17" s="257" t="b">
        <f>SUMPRODUCT(--ISNUMBER(SEARCH(AF$15,$B17:$K17)))&gt;0</f>
        <v>0</v>
      </c>
      <c r="AG17" s="459">
        <f>COUNTIF(AD17:AF17,"true")</f>
        <v>0</v>
      </c>
      <c r="AH17" s="460" t="b">
        <f>SUMPRODUCT(--ISNUMBER(SEARCH(AH$15,$B17:$K17)))&gt;0</f>
        <v>0</v>
      </c>
      <c r="AI17" s="257" t="b">
        <f>SUMPRODUCT(--ISNUMBER(SEARCH(AI$15,$B17:$K17)))&gt;0</f>
        <v>0</v>
      </c>
      <c r="AJ17" s="257" t="b">
        <f>SUMPRODUCT(--ISNUMBER(SEARCH(AJ$15,$B17:$K17)))&gt;0</f>
        <v>0</v>
      </c>
      <c r="AK17" s="257" t="b">
        <f>SUMPRODUCT(--ISNUMBER(SEARCH(AK$15,$B17:$K17)))&gt;0</f>
        <v>0</v>
      </c>
      <c r="AL17" s="459">
        <f>COUNTIF(AH17:AK17,"True")</f>
        <v>0</v>
      </c>
    </row>
    <row r="18" spans="1:38" x14ac:dyDescent="0.2">
      <c r="A18" s="494"/>
      <c r="B18" s="686"/>
      <c r="C18" s="687"/>
      <c r="D18" s="687"/>
      <c r="E18" s="686"/>
      <c r="F18" s="687"/>
      <c r="G18" s="687"/>
      <c r="H18" s="686"/>
      <c r="I18" s="687"/>
      <c r="J18" s="687"/>
      <c r="K18" s="687"/>
      <c r="L18" s="495"/>
      <c r="M18" s="164" t="str">
        <f t="shared" ca="1" si="0"/>
        <v/>
      </c>
      <c r="N18" s="161"/>
      <c r="O18" s="163" t="str">
        <f t="shared" ref="O18:O59" ca="1" si="2">IF(AND(L18&gt;=75,M18&lt;&gt;"disallow"),1," ")</f>
        <v xml:space="preserve"> </v>
      </c>
      <c r="P18" s="168"/>
      <c r="Q18" s="629"/>
      <c r="R18" s="629"/>
      <c r="S18" s="629"/>
      <c r="T18" s="629"/>
      <c r="U18" s="178"/>
      <c r="V18" s="178">
        <f t="shared" ref="V18:V59" ca="1" si="3">IF(AND(W18=0,M18="disallow"),L18,0)</f>
        <v>0</v>
      </c>
      <c r="W18" s="178"/>
      <c r="X18" s="178">
        <f>IF(W18&gt;0,-U18,0)</f>
        <v>0</v>
      </c>
      <c r="Y18" s="166">
        <f t="shared" si="1"/>
        <v>0</v>
      </c>
      <c r="AA18" s="460" t="b">
        <f t="shared" ref="AA18:AA59" si="4">SUMPRODUCT(--ISNUMBER(SEARCH(AA$15,$B18)))&gt;0</f>
        <v>0</v>
      </c>
      <c r="AB18" s="257" t="b">
        <f t="shared" ref="AB18:AB59" si="5">SUMPRODUCT(--ISNUMBER(SEARCH(AA$15,$E18:$K18)))&gt;0</f>
        <v>0</v>
      </c>
      <c r="AC18" s="459">
        <f t="shared" ref="AC18:AC59" si="6">COUNTIF(AA18:AB18,"true")</f>
        <v>0</v>
      </c>
      <c r="AD18" s="460" t="b">
        <f t="shared" ref="AD18:AF59" si="7">SUMPRODUCT(--ISNUMBER(SEARCH(AD$15,$B18:$K18)))&gt;0</f>
        <v>0</v>
      </c>
      <c r="AE18" s="257" t="b">
        <f t="shared" ref="AE18:AF47" si="8">SUMPRODUCT(--ISNUMBER(SEARCH(AE$15,$B18:$K18)))&gt;0</f>
        <v>0</v>
      </c>
      <c r="AF18" s="257" t="b">
        <f t="shared" si="8"/>
        <v>0</v>
      </c>
      <c r="AG18" s="459">
        <f t="shared" ref="AG18:AG59" si="9">COUNTIF(AD18:AF18,"true")</f>
        <v>0</v>
      </c>
      <c r="AH18" s="460" t="b">
        <f t="shared" ref="AH18:AK59" si="10">SUMPRODUCT(--ISNUMBER(SEARCH(AH$15,$B18:$K18)))&gt;0</f>
        <v>0</v>
      </c>
      <c r="AI18" s="257" t="b">
        <f t="shared" si="10"/>
        <v>0</v>
      </c>
      <c r="AJ18" s="257" t="b">
        <f t="shared" si="10"/>
        <v>0</v>
      </c>
      <c r="AK18" s="257" t="b">
        <f t="shared" si="10"/>
        <v>0</v>
      </c>
      <c r="AL18" s="459">
        <f t="shared" ref="AL18:AL59" si="11">COUNTIF(AH18:AK18,"True")</f>
        <v>0</v>
      </c>
    </row>
    <row r="19" spans="1:38" x14ac:dyDescent="0.2">
      <c r="A19" s="494"/>
      <c r="B19" s="686"/>
      <c r="C19" s="687"/>
      <c r="D19" s="687"/>
      <c r="E19" s="686"/>
      <c r="F19" s="687"/>
      <c r="G19" s="687"/>
      <c r="H19" s="686"/>
      <c r="I19" s="687"/>
      <c r="J19" s="687"/>
      <c r="K19" s="687"/>
      <c r="L19" s="495"/>
      <c r="M19" s="164" t="str">
        <f t="shared" ca="1" si="0"/>
        <v/>
      </c>
      <c r="N19" s="161"/>
      <c r="O19" s="163" t="str">
        <f t="shared" ca="1" si="2"/>
        <v xml:space="preserve"> </v>
      </c>
      <c r="P19" s="168"/>
      <c r="Q19" s="629"/>
      <c r="R19" s="629"/>
      <c r="S19" s="629"/>
      <c r="T19" s="629"/>
      <c r="U19" s="178"/>
      <c r="V19" s="178">
        <f t="shared" ca="1" si="3"/>
        <v>0</v>
      </c>
      <c r="W19" s="178"/>
      <c r="X19" s="178">
        <f t="shared" ref="X19:X59" si="12">IF(W19&gt;0,-U19,0)</f>
        <v>0</v>
      </c>
      <c r="Y19" s="166">
        <f t="shared" si="1"/>
        <v>0</v>
      </c>
      <c r="AA19" s="460" t="b">
        <f t="shared" si="4"/>
        <v>0</v>
      </c>
      <c r="AB19" s="257" t="b">
        <f t="shared" si="5"/>
        <v>0</v>
      </c>
      <c r="AC19" s="459">
        <f t="shared" si="6"/>
        <v>0</v>
      </c>
      <c r="AD19" s="460" t="b">
        <f t="shared" si="7"/>
        <v>0</v>
      </c>
      <c r="AE19" s="257" t="b">
        <f t="shared" si="8"/>
        <v>0</v>
      </c>
      <c r="AF19" s="257" t="b">
        <f t="shared" si="8"/>
        <v>0</v>
      </c>
      <c r="AG19" s="459">
        <f t="shared" si="9"/>
        <v>0</v>
      </c>
      <c r="AH19" s="460" t="b">
        <f t="shared" si="10"/>
        <v>0</v>
      </c>
      <c r="AI19" s="257" t="b">
        <f t="shared" si="10"/>
        <v>0</v>
      </c>
      <c r="AJ19" s="257" t="b">
        <f t="shared" si="10"/>
        <v>0</v>
      </c>
      <c r="AK19" s="257" t="b">
        <f t="shared" si="10"/>
        <v>0</v>
      </c>
      <c r="AL19" s="459">
        <f t="shared" si="11"/>
        <v>0</v>
      </c>
    </row>
    <row r="20" spans="1:38" x14ac:dyDescent="0.2">
      <c r="A20" s="494"/>
      <c r="B20" s="686"/>
      <c r="C20" s="687"/>
      <c r="D20" s="687"/>
      <c r="E20" s="686"/>
      <c r="F20" s="687"/>
      <c r="G20" s="687"/>
      <c r="H20" s="686"/>
      <c r="I20" s="687"/>
      <c r="J20" s="687"/>
      <c r="K20" s="687"/>
      <c r="L20" s="495"/>
      <c r="M20" s="164" t="str">
        <f t="shared" ca="1" si="0"/>
        <v/>
      </c>
      <c r="N20" s="161"/>
      <c r="O20" s="163" t="str">
        <f t="shared" ca="1" si="2"/>
        <v xml:space="preserve"> </v>
      </c>
      <c r="P20" s="168"/>
      <c r="Q20" s="629"/>
      <c r="R20" s="629"/>
      <c r="S20" s="629"/>
      <c r="T20" s="629"/>
      <c r="U20" s="178"/>
      <c r="V20" s="178">
        <f t="shared" ca="1" si="3"/>
        <v>0</v>
      </c>
      <c r="W20" s="178"/>
      <c r="X20" s="178">
        <f t="shared" si="12"/>
        <v>0</v>
      </c>
      <c r="Y20" s="166">
        <f t="shared" si="1"/>
        <v>0</v>
      </c>
      <c r="AA20" s="460" t="b">
        <f t="shared" si="4"/>
        <v>0</v>
      </c>
      <c r="AB20" s="257" t="b">
        <f t="shared" si="5"/>
        <v>0</v>
      </c>
      <c r="AC20" s="459">
        <f t="shared" si="6"/>
        <v>0</v>
      </c>
      <c r="AD20" s="460" t="b">
        <f t="shared" si="7"/>
        <v>0</v>
      </c>
      <c r="AE20" s="257" t="b">
        <f t="shared" si="8"/>
        <v>0</v>
      </c>
      <c r="AF20" s="257" t="b">
        <f t="shared" si="8"/>
        <v>0</v>
      </c>
      <c r="AG20" s="459">
        <f t="shared" si="9"/>
        <v>0</v>
      </c>
      <c r="AH20" s="460" t="b">
        <f t="shared" si="10"/>
        <v>0</v>
      </c>
      <c r="AI20" s="257" t="b">
        <f t="shared" si="10"/>
        <v>0</v>
      </c>
      <c r="AJ20" s="257" t="b">
        <f t="shared" si="10"/>
        <v>0</v>
      </c>
      <c r="AK20" s="257" t="b">
        <f t="shared" si="10"/>
        <v>0</v>
      </c>
      <c r="AL20" s="459">
        <f t="shared" si="11"/>
        <v>0</v>
      </c>
    </row>
    <row r="21" spans="1:38" x14ac:dyDescent="0.2">
      <c r="A21" s="494"/>
      <c r="B21" s="686"/>
      <c r="C21" s="687"/>
      <c r="D21" s="687"/>
      <c r="E21" s="686"/>
      <c r="F21" s="687"/>
      <c r="G21" s="687"/>
      <c r="H21" s="686"/>
      <c r="I21" s="687"/>
      <c r="J21" s="687"/>
      <c r="K21" s="687"/>
      <c r="L21" s="495"/>
      <c r="M21" s="164" t="str">
        <f t="shared" ca="1" si="0"/>
        <v/>
      </c>
      <c r="N21" s="161"/>
      <c r="O21" s="163" t="str">
        <f t="shared" ca="1" si="2"/>
        <v xml:space="preserve"> </v>
      </c>
      <c r="P21" s="168"/>
      <c r="Q21" s="629"/>
      <c r="R21" s="629"/>
      <c r="S21" s="629"/>
      <c r="T21" s="629"/>
      <c r="U21" s="178"/>
      <c r="V21" s="178">
        <f t="shared" ca="1" si="3"/>
        <v>0</v>
      </c>
      <c r="W21" s="178"/>
      <c r="X21" s="178">
        <f t="shared" si="12"/>
        <v>0</v>
      </c>
      <c r="Y21" s="166">
        <f t="shared" si="1"/>
        <v>0</v>
      </c>
      <c r="AA21" s="460" t="b">
        <f t="shared" si="4"/>
        <v>0</v>
      </c>
      <c r="AB21" s="257" t="b">
        <f t="shared" si="5"/>
        <v>0</v>
      </c>
      <c r="AC21" s="459">
        <f t="shared" si="6"/>
        <v>0</v>
      </c>
      <c r="AD21" s="460" t="b">
        <f t="shared" si="7"/>
        <v>0</v>
      </c>
      <c r="AE21" s="257" t="b">
        <f t="shared" si="8"/>
        <v>0</v>
      </c>
      <c r="AF21" s="257" t="b">
        <f t="shared" si="8"/>
        <v>0</v>
      </c>
      <c r="AG21" s="459">
        <f t="shared" si="9"/>
        <v>0</v>
      </c>
      <c r="AH21" s="460" t="b">
        <f t="shared" si="10"/>
        <v>0</v>
      </c>
      <c r="AI21" s="257" t="b">
        <f t="shared" si="10"/>
        <v>0</v>
      </c>
      <c r="AJ21" s="257" t="b">
        <f t="shared" si="10"/>
        <v>0</v>
      </c>
      <c r="AK21" s="257" t="b">
        <f t="shared" si="10"/>
        <v>0</v>
      </c>
      <c r="AL21" s="459">
        <f t="shared" si="11"/>
        <v>0</v>
      </c>
    </row>
    <row r="22" spans="1:38" x14ac:dyDescent="0.2">
      <c r="A22" s="494"/>
      <c r="B22" s="686"/>
      <c r="C22" s="687"/>
      <c r="D22" s="687"/>
      <c r="E22" s="686"/>
      <c r="F22" s="687"/>
      <c r="G22" s="687"/>
      <c r="H22" s="686"/>
      <c r="I22" s="687"/>
      <c r="J22" s="687"/>
      <c r="K22" s="687"/>
      <c r="L22" s="495"/>
      <c r="M22" s="164" t="str">
        <f t="shared" ca="1" si="0"/>
        <v/>
      </c>
      <c r="N22" s="161"/>
      <c r="O22" s="163" t="str">
        <f t="shared" ca="1" si="2"/>
        <v xml:space="preserve"> </v>
      </c>
      <c r="P22" s="168"/>
      <c r="Q22" s="629"/>
      <c r="R22" s="629"/>
      <c r="S22" s="629"/>
      <c r="T22" s="629"/>
      <c r="U22" s="178"/>
      <c r="V22" s="178">
        <f t="shared" ca="1" si="3"/>
        <v>0</v>
      </c>
      <c r="W22" s="178"/>
      <c r="X22" s="178">
        <f t="shared" si="12"/>
        <v>0</v>
      </c>
      <c r="Y22" s="166">
        <f t="shared" si="1"/>
        <v>0</v>
      </c>
      <c r="AA22" s="460" t="b">
        <f t="shared" si="4"/>
        <v>0</v>
      </c>
      <c r="AB22" s="257" t="b">
        <f t="shared" si="5"/>
        <v>0</v>
      </c>
      <c r="AC22" s="459">
        <f t="shared" si="6"/>
        <v>0</v>
      </c>
      <c r="AD22" s="460" t="b">
        <f t="shared" si="7"/>
        <v>0</v>
      </c>
      <c r="AE22" s="257" t="b">
        <f t="shared" si="8"/>
        <v>0</v>
      </c>
      <c r="AF22" s="257" t="b">
        <f t="shared" si="8"/>
        <v>0</v>
      </c>
      <c r="AG22" s="459">
        <f t="shared" si="9"/>
        <v>0</v>
      </c>
      <c r="AH22" s="460" t="b">
        <f t="shared" si="10"/>
        <v>0</v>
      </c>
      <c r="AI22" s="257" t="b">
        <f t="shared" si="10"/>
        <v>0</v>
      </c>
      <c r="AJ22" s="257" t="b">
        <f t="shared" si="10"/>
        <v>0</v>
      </c>
      <c r="AK22" s="257" t="b">
        <f t="shared" si="10"/>
        <v>0</v>
      </c>
      <c r="AL22" s="459">
        <f t="shared" si="11"/>
        <v>0</v>
      </c>
    </row>
    <row r="23" spans="1:38" x14ac:dyDescent="0.2">
      <c r="A23" s="494"/>
      <c r="B23" s="686"/>
      <c r="C23" s="687"/>
      <c r="D23" s="687"/>
      <c r="E23" s="686"/>
      <c r="F23" s="687"/>
      <c r="G23" s="687"/>
      <c r="H23" s="686"/>
      <c r="I23" s="687"/>
      <c r="J23" s="687"/>
      <c r="K23" s="687"/>
      <c r="L23" s="495"/>
      <c r="M23" s="164" t="str">
        <f t="shared" ca="1" si="0"/>
        <v/>
      </c>
      <c r="N23" s="161"/>
      <c r="O23" s="163" t="str">
        <f t="shared" ca="1" si="2"/>
        <v xml:space="preserve"> </v>
      </c>
      <c r="P23" s="168"/>
      <c r="Q23" s="629"/>
      <c r="R23" s="629"/>
      <c r="S23" s="629"/>
      <c r="T23" s="629"/>
      <c r="U23" s="178"/>
      <c r="V23" s="178">
        <f t="shared" ca="1" si="3"/>
        <v>0</v>
      </c>
      <c r="W23" s="178"/>
      <c r="X23" s="178">
        <f t="shared" si="12"/>
        <v>0</v>
      </c>
      <c r="Y23" s="166">
        <f t="shared" si="1"/>
        <v>0</v>
      </c>
      <c r="AA23" s="460" t="b">
        <f t="shared" si="4"/>
        <v>0</v>
      </c>
      <c r="AB23" s="257" t="b">
        <f t="shared" si="5"/>
        <v>0</v>
      </c>
      <c r="AC23" s="459">
        <f t="shared" si="6"/>
        <v>0</v>
      </c>
      <c r="AD23" s="460" t="b">
        <f t="shared" si="7"/>
        <v>0</v>
      </c>
      <c r="AE23" s="257" t="b">
        <f t="shared" si="8"/>
        <v>0</v>
      </c>
      <c r="AF23" s="257" t="b">
        <f t="shared" si="8"/>
        <v>0</v>
      </c>
      <c r="AG23" s="459">
        <f t="shared" si="9"/>
        <v>0</v>
      </c>
      <c r="AH23" s="460" t="b">
        <f t="shared" si="10"/>
        <v>0</v>
      </c>
      <c r="AI23" s="257" t="b">
        <f t="shared" si="10"/>
        <v>0</v>
      </c>
      <c r="AJ23" s="257" t="b">
        <f t="shared" si="10"/>
        <v>0</v>
      </c>
      <c r="AK23" s="257" t="b">
        <f t="shared" si="10"/>
        <v>0</v>
      </c>
      <c r="AL23" s="459">
        <f t="shared" si="11"/>
        <v>0</v>
      </c>
    </row>
    <row r="24" spans="1:38" x14ac:dyDescent="0.2">
      <c r="A24" s="494"/>
      <c r="B24" s="686"/>
      <c r="C24" s="687"/>
      <c r="D24" s="687"/>
      <c r="E24" s="686"/>
      <c r="F24" s="687"/>
      <c r="G24" s="687"/>
      <c r="H24" s="686"/>
      <c r="I24" s="687"/>
      <c r="J24" s="687"/>
      <c r="K24" s="687"/>
      <c r="L24" s="495"/>
      <c r="M24" s="164" t="str">
        <f t="shared" ca="1" si="0"/>
        <v/>
      </c>
      <c r="N24" s="161"/>
      <c r="O24" s="163" t="str">
        <f t="shared" ca="1" si="2"/>
        <v xml:space="preserve"> </v>
      </c>
      <c r="P24" s="169"/>
      <c r="Q24" s="629"/>
      <c r="R24" s="629"/>
      <c r="S24" s="629"/>
      <c r="T24" s="629"/>
      <c r="U24" s="178"/>
      <c r="V24" s="178">
        <f t="shared" ca="1" si="3"/>
        <v>0</v>
      </c>
      <c r="W24" s="178"/>
      <c r="X24" s="178">
        <f t="shared" si="12"/>
        <v>0</v>
      </c>
      <c r="Y24" s="166">
        <f t="shared" si="1"/>
        <v>0</v>
      </c>
      <c r="AA24" s="460" t="b">
        <f t="shared" si="4"/>
        <v>0</v>
      </c>
      <c r="AB24" s="257" t="b">
        <f t="shared" si="5"/>
        <v>0</v>
      </c>
      <c r="AC24" s="459">
        <f t="shared" si="6"/>
        <v>0</v>
      </c>
      <c r="AD24" s="460" t="b">
        <f t="shared" si="7"/>
        <v>0</v>
      </c>
      <c r="AE24" s="257" t="b">
        <f t="shared" si="8"/>
        <v>0</v>
      </c>
      <c r="AF24" s="257" t="b">
        <f t="shared" si="8"/>
        <v>0</v>
      </c>
      <c r="AG24" s="459">
        <f t="shared" si="9"/>
        <v>0</v>
      </c>
      <c r="AH24" s="460" t="b">
        <f t="shared" si="10"/>
        <v>0</v>
      </c>
      <c r="AI24" s="257" t="b">
        <f t="shared" si="10"/>
        <v>0</v>
      </c>
      <c r="AJ24" s="257" t="b">
        <f t="shared" si="10"/>
        <v>0</v>
      </c>
      <c r="AK24" s="257" t="b">
        <f t="shared" si="10"/>
        <v>0</v>
      </c>
      <c r="AL24" s="459">
        <f t="shared" si="11"/>
        <v>0</v>
      </c>
    </row>
    <row r="25" spans="1:38" x14ac:dyDescent="0.2">
      <c r="A25" s="494"/>
      <c r="B25" s="686"/>
      <c r="C25" s="687"/>
      <c r="D25" s="687"/>
      <c r="E25" s="686"/>
      <c r="F25" s="687"/>
      <c r="G25" s="687"/>
      <c r="H25" s="686"/>
      <c r="I25" s="687"/>
      <c r="J25" s="687"/>
      <c r="K25" s="687"/>
      <c r="L25" s="495"/>
      <c r="M25" s="164" t="str">
        <f t="shared" ca="1" si="0"/>
        <v/>
      </c>
      <c r="N25" s="161"/>
      <c r="O25" s="163" t="str">
        <f t="shared" ref="O25:O43" ca="1" si="13">IF(AND(L25&gt;=75,M25&lt;&gt;"disallow"),1," ")</f>
        <v xml:space="preserve"> </v>
      </c>
      <c r="P25" s="168"/>
      <c r="Q25" s="629"/>
      <c r="R25" s="629"/>
      <c r="S25" s="629"/>
      <c r="T25" s="629"/>
      <c r="U25" s="178"/>
      <c r="V25" s="178">
        <f t="shared" ref="V25:V43" ca="1" si="14">IF(AND(W25=0,M25="disallow"),L25,0)</f>
        <v>0</v>
      </c>
      <c r="W25" s="178"/>
      <c r="X25" s="178">
        <f t="shared" ref="X25:X43" si="15">IF(W25&gt;0,-U25,0)</f>
        <v>0</v>
      </c>
      <c r="Y25" s="166">
        <f t="shared" ref="Y25:Y43" si="16">IF(AND(A25&lt;Fiscal_Start_Date,submit_date-A25&lt;90,submit_date&gt;=0),L25,0)</f>
        <v>0</v>
      </c>
      <c r="AA25" s="460" t="b">
        <f t="shared" si="4"/>
        <v>0</v>
      </c>
      <c r="AB25" s="257" t="b">
        <f t="shared" si="5"/>
        <v>0</v>
      </c>
      <c r="AC25" s="459">
        <f t="shared" si="6"/>
        <v>0</v>
      </c>
      <c r="AD25" s="460" t="b">
        <f t="shared" si="7"/>
        <v>0</v>
      </c>
      <c r="AE25" s="257" t="b">
        <f t="shared" si="8"/>
        <v>0</v>
      </c>
      <c r="AF25" s="257" t="b">
        <f t="shared" si="8"/>
        <v>0</v>
      </c>
      <c r="AG25" s="459">
        <f t="shared" si="9"/>
        <v>0</v>
      </c>
      <c r="AH25" s="460" t="b">
        <f t="shared" si="10"/>
        <v>0</v>
      </c>
      <c r="AI25" s="257" t="b">
        <f t="shared" si="10"/>
        <v>0</v>
      </c>
      <c r="AJ25" s="257" t="b">
        <f t="shared" si="10"/>
        <v>0</v>
      </c>
      <c r="AK25" s="257" t="b">
        <f t="shared" si="10"/>
        <v>0</v>
      </c>
      <c r="AL25" s="459">
        <f t="shared" si="11"/>
        <v>0</v>
      </c>
    </row>
    <row r="26" spans="1:38" x14ac:dyDescent="0.2">
      <c r="A26" s="494"/>
      <c r="B26" s="686"/>
      <c r="C26" s="687"/>
      <c r="D26" s="687"/>
      <c r="E26" s="686"/>
      <c r="F26" s="687"/>
      <c r="G26" s="687"/>
      <c r="H26" s="686"/>
      <c r="I26" s="687"/>
      <c r="J26" s="687"/>
      <c r="K26" s="687"/>
      <c r="L26" s="495"/>
      <c r="M26" s="164" t="str">
        <f t="shared" ca="1" si="0"/>
        <v/>
      </c>
      <c r="N26" s="161"/>
      <c r="O26" s="163" t="str">
        <f t="shared" ca="1" si="13"/>
        <v xml:space="preserve"> </v>
      </c>
      <c r="P26" s="168"/>
      <c r="Q26" s="629"/>
      <c r="R26" s="629"/>
      <c r="S26" s="629"/>
      <c r="T26" s="629"/>
      <c r="U26" s="178"/>
      <c r="V26" s="178">
        <f t="shared" ca="1" si="14"/>
        <v>0</v>
      </c>
      <c r="W26" s="178"/>
      <c r="X26" s="178">
        <f t="shared" si="15"/>
        <v>0</v>
      </c>
      <c r="Y26" s="166">
        <f t="shared" si="16"/>
        <v>0</v>
      </c>
      <c r="AA26" s="460" t="b">
        <f t="shared" si="4"/>
        <v>0</v>
      </c>
      <c r="AB26" s="257" t="b">
        <f t="shared" si="5"/>
        <v>0</v>
      </c>
      <c r="AC26" s="459">
        <f t="shared" si="6"/>
        <v>0</v>
      </c>
      <c r="AD26" s="460" t="b">
        <f t="shared" si="7"/>
        <v>0</v>
      </c>
      <c r="AE26" s="257" t="b">
        <f t="shared" si="8"/>
        <v>0</v>
      </c>
      <c r="AF26" s="257" t="b">
        <f t="shared" si="8"/>
        <v>0</v>
      </c>
      <c r="AG26" s="459">
        <f t="shared" si="9"/>
        <v>0</v>
      </c>
      <c r="AH26" s="460" t="b">
        <f t="shared" si="10"/>
        <v>0</v>
      </c>
      <c r="AI26" s="257" t="b">
        <f t="shared" si="10"/>
        <v>0</v>
      </c>
      <c r="AJ26" s="257" t="b">
        <f t="shared" si="10"/>
        <v>0</v>
      </c>
      <c r="AK26" s="257" t="b">
        <f t="shared" si="10"/>
        <v>0</v>
      </c>
      <c r="AL26" s="459">
        <f t="shared" si="11"/>
        <v>0</v>
      </c>
    </row>
    <row r="27" spans="1:38" x14ac:dyDescent="0.2">
      <c r="A27" s="494"/>
      <c r="B27" s="686"/>
      <c r="C27" s="687"/>
      <c r="D27" s="687"/>
      <c r="E27" s="686"/>
      <c r="F27" s="687"/>
      <c r="G27" s="687"/>
      <c r="H27" s="686"/>
      <c r="I27" s="687"/>
      <c r="J27" s="687"/>
      <c r="K27" s="687"/>
      <c r="L27" s="495"/>
      <c r="M27" s="164" t="str">
        <f t="shared" ca="1" si="0"/>
        <v/>
      </c>
      <c r="N27" s="161"/>
      <c r="O27" s="163" t="str">
        <f t="shared" ca="1" si="13"/>
        <v xml:space="preserve"> </v>
      </c>
      <c r="P27" s="168"/>
      <c r="Q27" s="629"/>
      <c r="R27" s="629"/>
      <c r="S27" s="629"/>
      <c r="T27" s="629"/>
      <c r="U27" s="178"/>
      <c r="V27" s="178">
        <f t="shared" ca="1" si="14"/>
        <v>0</v>
      </c>
      <c r="W27" s="178"/>
      <c r="X27" s="178">
        <f t="shared" si="15"/>
        <v>0</v>
      </c>
      <c r="Y27" s="166">
        <f t="shared" si="16"/>
        <v>0</v>
      </c>
      <c r="AA27" s="460" t="b">
        <f t="shared" si="4"/>
        <v>0</v>
      </c>
      <c r="AB27" s="257" t="b">
        <f t="shared" si="5"/>
        <v>0</v>
      </c>
      <c r="AC27" s="459">
        <f t="shared" si="6"/>
        <v>0</v>
      </c>
      <c r="AD27" s="460" t="b">
        <f t="shared" si="7"/>
        <v>0</v>
      </c>
      <c r="AE27" s="257" t="b">
        <f t="shared" si="8"/>
        <v>0</v>
      </c>
      <c r="AF27" s="257" t="b">
        <f t="shared" si="8"/>
        <v>0</v>
      </c>
      <c r="AG27" s="459">
        <f t="shared" si="9"/>
        <v>0</v>
      </c>
      <c r="AH27" s="460" t="b">
        <f t="shared" si="10"/>
        <v>0</v>
      </c>
      <c r="AI27" s="257" t="b">
        <f t="shared" si="10"/>
        <v>0</v>
      </c>
      <c r="AJ27" s="257" t="b">
        <f t="shared" si="10"/>
        <v>0</v>
      </c>
      <c r="AK27" s="257" t="b">
        <f t="shared" si="10"/>
        <v>0</v>
      </c>
      <c r="AL27" s="459">
        <f t="shared" si="11"/>
        <v>0</v>
      </c>
    </row>
    <row r="28" spans="1:38" x14ac:dyDescent="0.2">
      <c r="A28" s="494"/>
      <c r="B28" s="686"/>
      <c r="C28" s="687"/>
      <c r="D28" s="687"/>
      <c r="E28" s="686"/>
      <c r="F28" s="687"/>
      <c r="G28" s="687"/>
      <c r="H28" s="686"/>
      <c r="I28" s="687"/>
      <c r="J28" s="687"/>
      <c r="K28" s="687"/>
      <c r="L28" s="495"/>
      <c r="M28" s="164" t="str">
        <f t="shared" ref="M28" ca="1" si="17">IF(AL28&gt;0,"***",IF(A28&gt;0,IF(submit_date&gt;0,IF(submit_date-A28&gt;60,"disallow",IF(L28&gt;=75,IF(AND(N28="",TODAY()-submit_date&gt;30),"disallow","*")," ")),IF(TODAY()-A28&gt;60,"disallow",IF(L28&gt;=75,IF(AND(N28="",TODAY()-submit_date&gt;30),"disallow","*")," "))),IF(L28&gt;=75,IF(AND(N28="",TODAY()-submit_date&gt;30),"disallow","*"),"")))</f>
        <v/>
      </c>
      <c r="N28" s="161"/>
      <c r="O28" s="163" t="str">
        <f t="shared" ref="O28" ca="1" si="18">IF(AND(L28&gt;=75,M28&lt;&gt;"disallow"),1," ")</f>
        <v xml:space="preserve"> </v>
      </c>
      <c r="P28" s="169"/>
      <c r="Q28" s="629"/>
      <c r="R28" s="629"/>
      <c r="S28" s="629"/>
      <c r="T28" s="629"/>
      <c r="U28" s="178"/>
      <c r="V28" s="178">
        <f t="shared" ref="V28" ca="1" si="19">IF(AND(W28=0,M28="disallow"),L28,0)</f>
        <v>0</v>
      </c>
      <c r="W28" s="178"/>
      <c r="X28" s="178">
        <f t="shared" ref="X28" si="20">IF(W28&gt;0,-U28,0)</f>
        <v>0</v>
      </c>
      <c r="Y28" s="166">
        <f t="shared" ref="Y28" si="21">IF(AND(A28&lt;Fiscal_Start_Date,submit_date-A28&lt;90,submit_date&gt;=0),L28,0)</f>
        <v>0</v>
      </c>
      <c r="AA28" s="460" t="b">
        <f t="shared" si="4"/>
        <v>0</v>
      </c>
      <c r="AB28" s="257" t="b">
        <f t="shared" ref="AB28" si="22">SUMPRODUCT(--ISNUMBER(SEARCH(AA$15,$E28:$K28)))&gt;0</f>
        <v>0</v>
      </c>
      <c r="AC28" s="459">
        <f t="shared" ref="AC28" si="23">COUNTIF(AA28:AB28,"true")</f>
        <v>0</v>
      </c>
      <c r="AD28" s="460" t="b">
        <f t="shared" si="7"/>
        <v>0</v>
      </c>
      <c r="AE28" s="257" t="b">
        <f t="shared" si="8"/>
        <v>0</v>
      </c>
      <c r="AF28" s="257" t="b">
        <f t="shared" si="8"/>
        <v>0</v>
      </c>
      <c r="AG28" s="459">
        <f t="shared" ref="AG28" si="24">COUNTIF(AD28:AF28,"true")</f>
        <v>0</v>
      </c>
      <c r="AH28" s="460" t="b">
        <f t="shared" si="10"/>
        <v>0</v>
      </c>
      <c r="AI28" s="257" t="b">
        <f t="shared" si="10"/>
        <v>0</v>
      </c>
      <c r="AJ28" s="257" t="b">
        <f t="shared" si="10"/>
        <v>0</v>
      </c>
      <c r="AK28" s="257" t="b">
        <f t="shared" si="10"/>
        <v>0</v>
      </c>
      <c r="AL28" s="459">
        <f t="shared" ref="AL28" si="25">COUNTIF(AH28:AK28,"True")</f>
        <v>0</v>
      </c>
    </row>
    <row r="29" spans="1:38" x14ac:dyDescent="0.2">
      <c r="A29" s="494"/>
      <c r="B29" s="686"/>
      <c r="C29" s="687"/>
      <c r="D29" s="687"/>
      <c r="E29" s="686"/>
      <c r="F29" s="687"/>
      <c r="G29" s="687"/>
      <c r="H29" s="686"/>
      <c r="I29" s="687"/>
      <c r="J29" s="687"/>
      <c r="K29" s="687"/>
      <c r="L29" s="495"/>
      <c r="M29" s="164" t="str">
        <f t="shared" ca="1" si="0"/>
        <v/>
      </c>
      <c r="N29" s="161"/>
      <c r="O29" s="163" t="str">
        <f t="shared" ca="1" si="13"/>
        <v xml:space="preserve"> </v>
      </c>
      <c r="P29" s="169"/>
      <c r="Q29" s="629"/>
      <c r="R29" s="629"/>
      <c r="S29" s="629"/>
      <c r="T29" s="629"/>
      <c r="U29" s="178"/>
      <c r="V29" s="178">
        <f t="shared" ca="1" si="14"/>
        <v>0</v>
      </c>
      <c r="W29" s="178"/>
      <c r="X29" s="178">
        <f t="shared" si="15"/>
        <v>0</v>
      </c>
      <c r="Y29" s="166">
        <f t="shared" si="16"/>
        <v>0</v>
      </c>
      <c r="AA29" s="460" t="b">
        <f t="shared" si="4"/>
        <v>0</v>
      </c>
      <c r="AB29" s="257" t="b">
        <f t="shared" si="5"/>
        <v>0</v>
      </c>
      <c r="AC29" s="459">
        <f t="shared" si="6"/>
        <v>0</v>
      </c>
      <c r="AD29" s="460" t="b">
        <f t="shared" si="7"/>
        <v>0</v>
      </c>
      <c r="AE29" s="257" t="b">
        <f t="shared" si="8"/>
        <v>0</v>
      </c>
      <c r="AF29" s="257" t="b">
        <f t="shared" si="8"/>
        <v>0</v>
      </c>
      <c r="AG29" s="459">
        <f t="shared" si="9"/>
        <v>0</v>
      </c>
      <c r="AH29" s="460" t="b">
        <f t="shared" si="10"/>
        <v>0</v>
      </c>
      <c r="AI29" s="257" t="b">
        <f t="shared" si="10"/>
        <v>0</v>
      </c>
      <c r="AJ29" s="257" t="b">
        <f t="shared" si="10"/>
        <v>0</v>
      </c>
      <c r="AK29" s="257" t="b">
        <f t="shared" si="10"/>
        <v>0</v>
      </c>
      <c r="AL29" s="459">
        <f t="shared" si="11"/>
        <v>0</v>
      </c>
    </row>
    <row r="30" spans="1:38" x14ac:dyDescent="0.2">
      <c r="A30" s="494"/>
      <c r="B30" s="686"/>
      <c r="C30" s="687"/>
      <c r="D30" s="687"/>
      <c r="E30" s="686"/>
      <c r="F30" s="687"/>
      <c r="G30" s="687"/>
      <c r="H30" s="686"/>
      <c r="I30" s="687"/>
      <c r="J30" s="687"/>
      <c r="K30" s="687"/>
      <c r="L30" s="495"/>
      <c r="M30" s="164" t="str">
        <f t="shared" ref="M30" ca="1" si="26">IF(AL30&gt;0,"***",IF(A30&gt;0,IF(submit_date&gt;0,IF(submit_date-A30&gt;60,"disallow",IF(L30&gt;=75,IF(AND(N30="",TODAY()-submit_date&gt;30),"disallow","*")," ")),IF(TODAY()-A30&gt;60,"disallow",IF(L30&gt;=75,IF(AND(N30="",TODAY()-submit_date&gt;30),"disallow","*")," "))),IF(L30&gt;=75,IF(AND(N30="",TODAY()-submit_date&gt;30),"disallow","*"),"")))</f>
        <v/>
      </c>
      <c r="N30" s="161"/>
      <c r="O30" s="163" t="str">
        <f t="shared" ref="O30" ca="1" si="27">IF(AND(L30&gt;=75,M30&lt;&gt;"disallow"),1," ")</f>
        <v xml:space="preserve"> </v>
      </c>
      <c r="P30" s="169"/>
      <c r="Q30" s="629"/>
      <c r="R30" s="629"/>
      <c r="S30" s="629"/>
      <c r="T30" s="629"/>
      <c r="U30" s="178"/>
      <c r="V30" s="178">
        <f t="shared" ref="V30" ca="1" si="28">IF(AND(W30=0,M30="disallow"),L30,0)</f>
        <v>0</v>
      </c>
      <c r="W30" s="178"/>
      <c r="X30" s="178">
        <f t="shared" ref="X30" si="29">IF(W30&gt;0,-U30,0)</f>
        <v>0</v>
      </c>
      <c r="Y30" s="166">
        <f t="shared" ref="Y30" si="30">IF(AND(A30&lt;Fiscal_Start_Date,submit_date-A30&lt;90,submit_date&gt;=0),L30,0)</f>
        <v>0</v>
      </c>
      <c r="AA30" s="460" t="b">
        <f t="shared" si="4"/>
        <v>0</v>
      </c>
      <c r="AB30" s="257" t="b">
        <f t="shared" ref="AB30" si="31">SUMPRODUCT(--ISNUMBER(SEARCH(AA$15,$E30:$K30)))&gt;0</f>
        <v>0</v>
      </c>
      <c r="AC30" s="459">
        <f t="shared" ref="AC30" si="32">COUNTIF(AA30:AB30,"true")</f>
        <v>0</v>
      </c>
      <c r="AD30" s="460" t="b">
        <f t="shared" si="7"/>
        <v>0</v>
      </c>
      <c r="AE30" s="257" t="b">
        <f t="shared" si="8"/>
        <v>0</v>
      </c>
      <c r="AF30" s="257" t="b">
        <f t="shared" si="8"/>
        <v>0</v>
      </c>
      <c r="AG30" s="459">
        <f t="shared" ref="AG30" si="33">COUNTIF(AD30:AF30,"true")</f>
        <v>0</v>
      </c>
      <c r="AH30" s="460" t="b">
        <f t="shared" si="10"/>
        <v>0</v>
      </c>
      <c r="AI30" s="257" t="b">
        <f t="shared" si="10"/>
        <v>0</v>
      </c>
      <c r="AJ30" s="257" t="b">
        <f t="shared" si="10"/>
        <v>0</v>
      </c>
      <c r="AK30" s="257" t="b">
        <f t="shared" si="10"/>
        <v>0</v>
      </c>
      <c r="AL30" s="459">
        <f t="shared" ref="AL30" si="34">COUNTIF(AH30:AK30,"True")</f>
        <v>0</v>
      </c>
    </row>
    <row r="31" spans="1:38" x14ac:dyDescent="0.2">
      <c r="A31" s="494"/>
      <c r="B31" s="686"/>
      <c r="C31" s="687"/>
      <c r="D31" s="687"/>
      <c r="E31" s="686"/>
      <c r="F31" s="687"/>
      <c r="G31" s="687"/>
      <c r="H31" s="686"/>
      <c r="I31" s="687"/>
      <c r="J31" s="687"/>
      <c r="K31" s="687"/>
      <c r="L31" s="495"/>
      <c r="M31" s="164" t="str">
        <f t="shared" ca="1" si="0"/>
        <v/>
      </c>
      <c r="N31" s="161"/>
      <c r="O31" s="163" t="str">
        <f t="shared" ca="1" si="13"/>
        <v xml:space="preserve"> </v>
      </c>
      <c r="P31" s="169"/>
      <c r="Q31" s="629"/>
      <c r="R31" s="629"/>
      <c r="S31" s="629"/>
      <c r="T31" s="629"/>
      <c r="U31" s="178"/>
      <c r="V31" s="178">
        <f t="shared" ca="1" si="14"/>
        <v>0</v>
      </c>
      <c r="W31" s="178"/>
      <c r="X31" s="178">
        <f t="shared" si="15"/>
        <v>0</v>
      </c>
      <c r="Y31" s="166">
        <f t="shared" si="16"/>
        <v>0</v>
      </c>
      <c r="AA31" s="460" t="b">
        <f t="shared" si="4"/>
        <v>0</v>
      </c>
      <c r="AB31" s="257" t="b">
        <f t="shared" si="5"/>
        <v>0</v>
      </c>
      <c r="AC31" s="459">
        <f t="shared" si="6"/>
        <v>0</v>
      </c>
      <c r="AD31" s="460" t="b">
        <f t="shared" si="7"/>
        <v>0</v>
      </c>
      <c r="AE31" s="257" t="b">
        <f t="shared" si="8"/>
        <v>0</v>
      </c>
      <c r="AF31" s="257" t="b">
        <f t="shared" si="8"/>
        <v>0</v>
      </c>
      <c r="AG31" s="459">
        <f t="shared" si="9"/>
        <v>0</v>
      </c>
      <c r="AH31" s="460" t="b">
        <f t="shared" si="10"/>
        <v>0</v>
      </c>
      <c r="AI31" s="257" t="b">
        <f t="shared" si="10"/>
        <v>0</v>
      </c>
      <c r="AJ31" s="257" t="b">
        <f t="shared" si="10"/>
        <v>0</v>
      </c>
      <c r="AK31" s="257" t="b">
        <f t="shared" si="10"/>
        <v>0</v>
      </c>
      <c r="AL31" s="459">
        <f t="shared" si="11"/>
        <v>0</v>
      </c>
    </row>
    <row r="32" spans="1:38" x14ac:dyDescent="0.2">
      <c r="A32" s="494"/>
      <c r="B32" s="686"/>
      <c r="C32" s="687"/>
      <c r="D32" s="687"/>
      <c r="E32" s="686"/>
      <c r="F32" s="687"/>
      <c r="G32" s="687"/>
      <c r="H32" s="686"/>
      <c r="I32" s="687"/>
      <c r="J32" s="687"/>
      <c r="K32" s="687"/>
      <c r="L32" s="495"/>
      <c r="M32" s="164" t="str">
        <f t="shared" ref="M32" ca="1" si="35">IF(AL32&gt;0,"***",IF(A32&gt;0,IF(submit_date&gt;0,IF(submit_date-A32&gt;60,"disallow",IF(L32&gt;=75,IF(AND(N32="",TODAY()-submit_date&gt;30),"disallow","*")," ")),IF(TODAY()-A32&gt;60,"disallow",IF(L32&gt;=75,IF(AND(N32="",TODAY()-submit_date&gt;30),"disallow","*")," "))),IF(L32&gt;=75,IF(AND(N32="",TODAY()-submit_date&gt;30),"disallow","*"),"")))</f>
        <v/>
      </c>
      <c r="N32" s="161"/>
      <c r="O32" s="163" t="str">
        <f t="shared" ref="O32" ca="1" si="36">IF(AND(L32&gt;=75,M32&lt;&gt;"disallow"),1," ")</f>
        <v xml:space="preserve"> </v>
      </c>
      <c r="P32" s="169"/>
      <c r="Q32" s="629"/>
      <c r="R32" s="629"/>
      <c r="S32" s="629"/>
      <c r="T32" s="629"/>
      <c r="U32" s="178"/>
      <c r="V32" s="178">
        <f t="shared" ref="V32" ca="1" si="37">IF(AND(W32=0,M32="disallow"),L32,0)</f>
        <v>0</v>
      </c>
      <c r="W32" s="178"/>
      <c r="X32" s="178">
        <f t="shared" ref="X32" si="38">IF(W32&gt;0,-U32,0)</f>
        <v>0</v>
      </c>
      <c r="Y32" s="166">
        <f t="shared" ref="Y32" si="39">IF(AND(A32&lt;Fiscal_Start_Date,submit_date-A32&lt;90,submit_date&gt;=0),L32,0)</f>
        <v>0</v>
      </c>
      <c r="AA32" s="460" t="b">
        <f t="shared" si="4"/>
        <v>0</v>
      </c>
      <c r="AB32" s="257" t="b">
        <f t="shared" ref="AB32" si="40">SUMPRODUCT(--ISNUMBER(SEARCH(AA$15,$E32:$K32)))&gt;0</f>
        <v>0</v>
      </c>
      <c r="AC32" s="459">
        <f t="shared" ref="AC32" si="41">COUNTIF(AA32:AB32,"true")</f>
        <v>0</v>
      </c>
      <c r="AD32" s="460" t="b">
        <f t="shared" si="7"/>
        <v>0</v>
      </c>
      <c r="AE32" s="257" t="b">
        <f t="shared" si="8"/>
        <v>0</v>
      </c>
      <c r="AF32" s="257" t="b">
        <f t="shared" si="8"/>
        <v>0</v>
      </c>
      <c r="AG32" s="459">
        <f t="shared" ref="AG32" si="42">COUNTIF(AD32:AF32,"true")</f>
        <v>0</v>
      </c>
      <c r="AH32" s="460" t="b">
        <f t="shared" si="10"/>
        <v>0</v>
      </c>
      <c r="AI32" s="257" t="b">
        <f t="shared" si="10"/>
        <v>0</v>
      </c>
      <c r="AJ32" s="257" t="b">
        <f t="shared" si="10"/>
        <v>0</v>
      </c>
      <c r="AK32" s="257" t="b">
        <f t="shared" si="10"/>
        <v>0</v>
      </c>
      <c r="AL32" s="459">
        <f t="shared" ref="AL32" si="43">COUNTIF(AH32:AK32,"True")</f>
        <v>0</v>
      </c>
    </row>
    <row r="33" spans="1:38" x14ac:dyDescent="0.2">
      <c r="A33" s="494"/>
      <c r="B33" s="686"/>
      <c r="C33" s="687"/>
      <c r="D33" s="687"/>
      <c r="E33" s="686"/>
      <c r="F33" s="687"/>
      <c r="G33" s="687"/>
      <c r="H33" s="686"/>
      <c r="I33" s="687"/>
      <c r="J33" s="687"/>
      <c r="K33" s="687"/>
      <c r="L33" s="495"/>
      <c r="M33" s="164" t="str">
        <f t="shared" ca="1" si="0"/>
        <v/>
      </c>
      <c r="N33" s="161"/>
      <c r="O33" s="163" t="str">
        <f t="shared" ca="1" si="13"/>
        <v xml:space="preserve"> </v>
      </c>
      <c r="P33" s="169"/>
      <c r="Q33" s="629"/>
      <c r="R33" s="629"/>
      <c r="S33" s="629"/>
      <c r="T33" s="629"/>
      <c r="U33" s="178"/>
      <c r="V33" s="178">
        <f t="shared" ca="1" si="14"/>
        <v>0</v>
      </c>
      <c r="W33" s="178"/>
      <c r="X33" s="178">
        <f t="shared" si="15"/>
        <v>0</v>
      </c>
      <c r="Y33" s="166">
        <f t="shared" si="16"/>
        <v>0</v>
      </c>
      <c r="AA33" s="460" t="b">
        <f t="shared" si="4"/>
        <v>0</v>
      </c>
      <c r="AB33" s="257" t="b">
        <f t="shared" si="5"/>
        <v>0</v>
      </c>
      <c r="AC33" s="459">
        <f t="shared" si="6"/>
        <v>0</v>
      </c>
      <c r="AD33" s="460" t="b">
        <f t="shared" si="7"/>
        <v>0</v>
      </c>
      <c r="AE33" s="257" t="b">
        <f t="shared" si="8"/>
        <v>0</v>
      </c>
      <c r="AF33" s="257" t="b">
        <f t="shared" si="8"/>
        <v>0</v>
      </c>
      <c r="AG33" s="459">
        <f t="shared" si="9"/>
        <v>0</v>
      </c>
      <c r="AH33" s="460" t="b">
        <f t="shared" si="10"/>
        <v>0</v>
      </c>
      <c r="AI33" s="257" t="b">
        <f t="shared" si="10"/>
        <v>0</v>
      </c>
      <c r="AJ33" s="257" t="b">
        <f t="shared" si="10"/>
        <v>0</v>
      </c>
      <c r="AK33" s="257" t="b">
        <f t="shared" si="10"/>
        <v>0</v>
      </c>
      <c r="AL33" s="459">
        <f t="shared" si="11"/>
        <v>0</v>
      </c>
    </row>
    <row r="34" spans="1:38" x14ac:dyDescent="0.2">
      <c r="A34" s="494"/>
      <c r="B34" s="686"/>
      <c r="C34" s="687"/>
      <c r="D34" s="687"/>
      <c r="E34" s="686"/>
      <c r="F34" s="687"/>
      <c r="G34" s="687"/>
      <c r="H34" s="686"/>
      <c r="I34" s="687"/>
      <c r="J34" s="687"/>
      <c r="K34" s="687"/>
      <c r="L34" s="495"/>
      <c r="M34" s="164" t="str">
        <f t="shared" ref="M34" ca="1" si="44">IF(AL34&gt;0,"***",IF(A34&gt;0,IF(submit_date&gt;0,IF(submit_date-A34&gt;60,"disallow",IF(L34&gt;=75,IF(AND(N34="",TODAY()-submit_date&gt;30),"disallow","*")," ")),IF(TODAY()-A34&gt;60,"disallow",IF(L34&gt;=75,IF(AND(N34="",TODAY()-submit_date&gt;30),"disallow","*")," "))),IF(L34&gt;=75,IF(AND(N34="",TODAY()-submit_date&gt;30),"disallow","*"),"")))</f>
        <v/>
      </c>
      <c r="N34" s="161"/>
      <c r="O34" s="163" t="str">
        <f t="shared" ref="O34" ca="1" si="45">IF(AND(L34&gt;=75,M34&lt;&gt;"disallow"),1," ")</f>
        <v xml:space="preserve"> </v>
      </c>
      <c r="P34" s="169"/>
      <c r="Q34" s="629"/>
      <c r="R34" s="629"/>
      <c r="S34" s="629"/>
      <c r="T34" s="629"/>
      <c r="U34" s="178"/>
      <c r="V34" s="178">
        <f t="shared" ref="V34" ca="1" si="46">IF(AND(W34=0,M34="disallow"),L34,0)</f>
        <v>0</v>
      </c>
      <c r="W34" s="178"/>
      <c r="X34" s="178">
        <f t="shared" ref="X34" si="47">IF(W34&gt;0,-U34,0)</f>
        <v>0</v>
      </c>
      <c r="Y34" s="166">
        <f t="shared" ref="Y34" si="48">IF(AND(A34&lt;Fiscal_Start_Date,submit_date-A34&lt;90,submit_date&gt;=0),L34,0)</f>
        <v>0</v>
      </c>
      <c r="AA34" s="460" t="b">
        <f t="shared" si="4"/>
        <v>0</v>
      </c>
      <c r="AB34" s="257" t="b">
        <f t="shared" ref="AB34" si="49">SUMPRODUCT(--ISNUMBER(SEARCH(AA$15,$E34:$K34)))&gt;0</f>
        <v>0</v>
      </c>
      <c r="AC34" s="459">
        <f t="shared" ref="AC34" si="50">COUNTIF(AA34:AB34,"true")</f>
        <v>0</v>
      </c>
      <c r="AD34" s="460" t="b">
        <f t="shared" si="7"/>
        <v>0</v>
      </c>
      <c r="AE34" s="257" t="b">
        <f t="shared" si="8"/>
        <v>0</v>
      </c>
      <c r="AF34" s="257" t="b">
        <f t="shared" si="8"/>
        <v>0</v>
      </c>
      <c r="AG34" s="459">
        <f t="shared" ref="AG34" si="51">COUNTIF(AD34:AF34,"true")</f>
        <v>0</v>
      </c>
      <c r="AH34" s="460" t="b">
        <f t="shared" si="10"/>
        <v>0</v>
      </c>
      <c r="AI34" s="257" t="b">
        <f t="shared" si="10"/>
        <v>0</v>
      </c>
      <c r="AJ34" s="257" t="b">
        <f t="shared" si="10"/>
        <v>0</v>
      </c>
      <c r="AK34" s="257" t="b">
        <f t="shared" si="10"/>
        <v>0</v>
      </c>
      <c r="AL34" s="459">
        <f t="shared" ref="AL34" si="52">COUNTIF(AH34:AK34,"True")</f>
        <v>0</v>
      </c>
    </row>
    <row r="35" spans="1:38" x14ac:dyDescent="0.2">
      <c r="A35" s="494"/>
      <c r="B35" s="686"/>
      <c r="C35" s="687"/>
      <c r="D35" s="687"/>
      <c r="E35" s="686"/>
      <c r="F35" s="687"/>
      <c r="G35" s="687"/>
      <c r="H35" s="686"/>
      <c r="I35" s="687"/>
      <c r="J35" s="687"/>
      <c r="K35" s="687"/>
      <c r="L35" s="495"/>
      <c r="M35" s="164" t="str">
        <f t="shared" ca="1" si="0"/>
        <v/>
      </c>
      <c r="N35" s="161"/>
      <c r="O35" s="163" t="str">
        <f t="shared" ca="1" si="13"/>
        <v xml:space="preserve"> </v>
      </c>
      <c r="P35" s="169"/>
      <c r="Q35" s="629"/>
      <c r="R35" s="629"/>
      <c r="S35" s="629"/>
      <c r="T35" s="629"/>
      <c r="U35" s="178"/>
      <c r="V35" s="178">
        <f t="shared" ca="1" si="14"/>
        <v>0</v>
      </c>
      <c r="W35" s="178"/>
      <c r="X35" s="178">
        <f t="shared" si="15"/>
        <v>0</v>
      </c>
      <c r="Y35" s="166">
        <f t="shared" si="16"/>
        <v>0</v>
      </c>
      <c r="AA35" s="460" t="b">
        <f t="shared" si="4"/>
        <v>0</v>
      </c>
      <c r="AB35" s="257" t="b">
        <f t="shared" si="5"/>
        <v>0</v>
      </c>
      <c r="AC35" s="459">
        <f t="shared" si="6"/>
        <v>0</v>
      </c>
      <c r="AD35" s="460" t="b">
        <f t="shared" si="7"/>
        <v>0</v>
      </c>
      <c r="AE35" s="257" t="b">
        <f t="shared" si="8"/>
        <v>0</v>
      </c>
      <c r="AF35" s="257" t="b">
        <f t="shared" si="8"/>
        <v>0</v>
      </c>
      <c r="AG35" s="459">
        <f t="shared" si="9"/>
        <v>0</v>
      </c>
      <c r="AH35" s="460" t="b">
        <f t="shared" si="10"/>
        <v>0</v>
      </c>
      <c r="AI35" s="257" t="b">
        <f t="shared" si="10"/>
        <v>0</v>
      </c>
      <c r="AJ35" s="257" t="b">
        <f t="shared" si="10"/>
        <v>0</v>
      </c>
      <c r="AK35" s="257" t="b">
        <f t="shared" si="10"/>
        <v>0</v>
      </c>
      <c r="AL35" s="459">
        <f t="shared" si="11"/>
        <v>0</v>
      </c>
    </row>
    <row r="36" spans="1:38" x14ac:dyDescent="0.2">
      <c r="A36" s="494"/>
      <c r="B36" s="686"/>
      <c r="C36" s="687"/>
      <c r="D36" s="687"/>
      <c r="E36" s="686"/>
      <c r="F36" s="687"/>
      <c r="G36" s="687"/>
      <c r="H36" s="686"/>
      <c r="I36" s="687"/>
      <c r="J36" s="687"/>
      <c r="K36" s="687"/>
      <c r="L36" s="495"/>
      <c r="M36" s="164" t="str">
        <f t="shared" ref="M36" ca="1" si="53">IF(AL36&gt;0,"***",IF(A36&gt;0,IF(submit_date&gt;0,IF(submit_date-A36&gt;60,"disallow",IF(L36&gt;=75,IF(AND(N36="",TODAY()-submit_date&gt;30),"disallow","*")," ")),IF(TODAY()-A36&gt;60,"disallow",IF(L36&gt;=75,IF(AND(N36="",TODAY()-submit_date&gt;30),"disallow","*")," "))),IF(L36&gt;=75,IF(AND(N36="",TODAY()-submit_date&gt;30),"disallow","*"),"")))</f>
        <v/>
      </c>
      <c r="N36" s="161"/>
      <c r="O36" s="163" t="str">
        <f t="shared" ref="O36" ca="1" si="54">IF(AND(L36&gt;=75,M36&lt;&gt;"disallow"),1," ")</f>
        <v xml:space="preserve"> </v>
      </c>
      <c r="P36" s="169"/>
      <c r="Q36" s="629"/>
      <c r="R36" s="629"/>
      <c r="S36" s="629"/>
      <c r="T36" s="629"/>
      <c r="U36" s="178"/>
      <c r="V36" s="178">
        <f t="shared" ref="V36" ca="1" si="55">IF(AND(W36=0,M36="disallow"),L36,0)</f>
        <v>0</v>
      </c>
      <c r="W36" s="178"/>
      <c r="X36" s="178">
        <f t="shared" ref="X36" si="56">IF(W36&gt;0,-U36,0)</f>
        <v>0</v>
      </c>
      <c r="Y36" s="166">
        <f t="shared" ref="Y36" si="57">IF(AND(A36&lt;Fiscal_Start_Date,submit_date-A36&lt;90,submit_date&gt;=0),L36,0)</f>
        <v>0</v>
      </c>
      <c r="AA36" s="460" t="b">
        <f t="shared" si="4"/>
        <v>0</v>
      </c>
      <c r="AB36" s="257" t="b">
        <f t="shared" ref="AB36" si="58">SUMPRODUCT(--ISNUMBER(SEARCH(AA$15,$E36:$K36)))&gt;0</f>
        <v>0</v>
      </c>
      <c r="AC36" s="459">
        <f t="shared" ref="AC36" si="59">COUNTIF(AA36:AB36,"true")</f>
        <v>0</v>
      </c>
      <c r="AD36" s="460" t="b">
        <f t="shared" si="7"/>
        <v>0</v>
      </c>
      <c r="AE36" s="257" t="b">
        <f t="shared" si="8"/>
        <v>0</v>
      </c>
      <c r="AF36" s="257" t="b">
        <f t="shared" si="8"/>
        <v>0</v>
      </c>
      <c r="AG36" s="459">
        <f t="shared" ref="AG36" si="60">COUNTIF(AD36:AF36,"true")</f>
        <v>0</v>
      </c>
      <c r="AH36" s="460" t="b">
        <f t="shared" si="10"/>
        <v>0</v>
      </c>
      <c r="AI36" s="257" t="b">
        <f t="shared" si="10"/>
        <v>0</v>
      </c>
      <c r="AJ36" s="257" t="b">
        <f t="shared" si="10"/>
        <v>0</v>
      </c>
      <c r="AK36" s="257" t="b">
        <f t="shared" si="10"/>
        <v>0</v>
      </c>
      <c r="AL36" s="459">
        <f t="shared" ref="AL36" si="61">COUNTIF(AH36:AK36,"True")</f>
        <v>0</v>
      </c>
    </row>
    <row r="37" spans="1:38" x14ac:dyDescent="0.2">
      <c r="A37" s="494"/>
      <c r="B37" s="686"/>
      <c r="C37" s="687"/>
      <c r="D37" s="687"/>
      <c r="E37" s="686"/>
      <c r="F37" s="687"/>
      <c r="G37" s="687"/>
      <c r="H37" s="686"/>
      <c r="I37" s="687"/>
      <c r="J37" s="687"/>
      <c r="K37" s="687"/>
      <c r="L37" s="495"/>
      <c r="M37" s="164" t="str">
        <f t="shared" ca="1" si="0"/>
        <v/>
      </c>
      <c r="N37" s="161"/>
      <c r="O37" s="163" t="str">
        <f t="shared" ca="1" si="13"/>
        <v xml:space="preserve"> </v>
      </c>
      <c r="P37" s="169"/>
      <c r="Q37" s="629"/>
      <c r="R37" s="629"/>
      <c r="S37" s="629"/>
      <c r="T37" s="629"/>
      <c r="U37" s="178"/>
      <c r="V37" s="178">
        <f t="shared" ca="1" si="14"/>
        <v>0</v>
      </c>
      <c r="W37" s="178"/>
      <c r="X37" s="178">
        <f t="shared" si="15"/>
        <v>0</v>
      </c>
      <c r="Y37" s="166">
        <f t="shared" si="16"/>
        <v>0</v>
      </c>
      <c r="AA37" s="460" t="b">
        <f t="shared" si="4"/>
        <v>0</v>
      </c>
      <c r="AB37" s="257" t="b">
        <f t="shared" si="5"/>
        <v>0</v>
      </c>
      <c r="AC37" s="459">
        <f t="shared" si="6"/>
        <v>0</v>
      </c>
      <c r="AD37" s="460" t="b">
        <f t="shared" si="7"/>
        <v>0</v>
      </c>
      <c r="AE37" s="257" t="b">
        <f t="shared" si="8"/>
        <v>0</v>
      </c>
      <c r="AF37" s="257" t="b">
        <f t="shared" si="8"/>
        <v>0</v>
      </c>
      <c r="AG37" s="459">
        <f t="shared" si="9"/>
        <v>0</v>
      </c>
      <c r="AH37" s="460" t="b">
        <f t="shared" si="10"/>
        <v>0</v>
      </c>
      <c r="AI37" s="257" t="b">
        <f t="shared" si="10"/>
        <v>0</v>
      </c>
      <c r="AJ37" s="257" t="b">
        <f t="shared" si="10"/>
        <v>0</v>
      </c>
      <c r="AK37" s="257" t="b">
        <f t="shared" si="10"/>
        <v>0</v>
      </c>
      <c r="AL37" s="459">
        <f t="shared" si="11"/>
        <v>0</v>
      </c>
    </row>
    <row r="38" spans="1:38" x14ac:dyDescent="0.2">
      <c r="A38" s="494"/>
      <c r="B38" s="686"/>
      <c r="C38" s="687"/>
      <c r="D38" s="687"/>
      <c r="E38" s="686"/>
      <c r="F38" s="687"/>
      <c r="G38" s="687"/>
      <c r="H38" s="686"/>
      <c r="I38" s="687"/>
      <c r="J38" s="687"/>
      <c r="K38" s="687"/>
      <c r="L38" s="495"/>
      <c r="M38" s="164" t="str">
        <f t="shared" ref="M38" ca="1" si="62">IF(AL38&gt;0,"***",IF(A38&gt;0,IF(submit_date&gt;0,IF(submit_date-A38&gt;60,"disallow",IF(L38&gt;=75,IF(AND(N38="",TODAY()-submit_date&gt;30),"disallow","*")," ")),IF(TODAY()-A38&gt;60,"disallow",IF(L38&gt;=75,IF(AND(N38="",TODAY()-submit_date&gt;30),"disallow","*")," "))),IF(L38&gt;=75,IF(AND(N38="",TODAY()-submit_date&gt;30),"disallow","*"),"")))</f>
        <v/>
      </c>
      <c r="N38" s="161"/>
      <c r="O38" s="163" t="str">
        <f t="shared" ref="O38" ca="1" si="63">IF(AND(L38&gt;=75,M38&lt;&gt;"disallow"),1," ")</f>
        <v xml:space="preserve"> </v>
      </c>
      <c r="P38" s="169"/>
      <c r="Q38" s="629"/>
      <c r="R38" s="629"/>
      <c r="S38" s="629"/>
      <c r="T38" s="629"/>
      <c r="U38" s="178"/>
      <c r="V38" s="178">
        <f t="shared" ref="V38" ca="1" si="64">IF(AND(W38=0,M38="disallow"),L38,0)</f>
        <v>0</v>
      </c>
      <c r="W38" s="178"/>
      <c r="X38" s="178">
        <f t="shared" ref="X38" si="65">IF(W38&gt;0,-U38,0)</f>
        <v>0</v>
      </c>
      <c r="Y38" s="166">
        <f t="shared" ref="Y38" si="66">IF(AND(A38&lt;Fiscal_Start_Date,submit_date-A38&lt;90,submit_date&gt;=0),L38,0)</f>
        <v>0</v>
      </c>
      <c r="AA38" s="460" t="b">
        <f t="shared" si="4"/>
        <v>0</v>
      </c>
      <c r="AB38" s="257" t="b">
        <f t="shared" ref="AB38" si="67">SUMPRODUCT(--ISNUMBER(SEARCH(AA$15,$E38:$K38)))&gt;0</f>
        <v>0</v>
      </c>
      <c r="AC38" s="459">
        <f t="shared" ref="AC38" si="68">COUNTIF(AA38:AB38,"true")</f>
        <v>0</v>
      </c>
      <c r="AD38" s="460" t="b">
        <f t="shared" si="7"/>
        <v>0</v>
      </c>
      <c r="AE38" s="257" t="b">
        <f t="shared" si="8"/>
        <v>0</v>
      </c>
      <c r="AF38" s="257" t="b">
        <f t="shared" si="8"/>
        <v>0</v>
      </c>
      <c r="AG38" s="459">
        <f t="shared" ref="AG38" si="69">COUNTIF(AD38:AF38,"true")</f>
        <v>0</v>
      </c>
      <c r="AH38" s="460" t="b">
        <f t="shared" si="10"/>
        <v>0</v>
      </c>
      <c r="AI38" s="257" t="b">
        <f t="shared" si="10"/>
        <v>0</v>
      </c>
      <c r="AJ38" s="257" t="b">
        <f t="shared" si="10"/>
        <v>0</v>
      </c>
      <c r="AK38" s="257" t="b">
        <f t="shared" si="10"/>
        <v>0</v>
      </c>
      <c r="AL38" s="459">
        <f t="shared" ref="AL38" si="70">COUNTIF(AH38:AK38,"True")</f>
        <v>0</v>
      </c>
    </row>
    <row r="39" spans="1:38" x14ac:dyDescent="0.2">
      <c r="A39" s="494"/>
      <c r="B39" s="686"/>
      <c r="C39" s="687"/>
      <c r="D39" s="687"/>
      <c r="E39" s="686"/>
      <c r="F39" s="687"/>
      <c r="G39" s="687"/>
      <c r="H39" s="686"/>
      <c r="I39" s="687"/>
      <c r="J39" s="687"/>
      <c r="K39" s="687"/>
      <c r="L39" s="495"/>
      <c r="M39" s="164" t="str">
        <f t="shared" ca="1" si="0"/>
        <v/>
      </c>
      <c r="N39" s="161"/>
      <c r="O39" s="163" t="str">
        <f t="shared" ca="1" si="13"/>
        <v xml:space="preserve"> </v>
      </c>
      <c r="P39" s="169"/>
      <c r="Q39" s="629"/>
      <c r="R39" s="629"/>
      <c r="S39" s="629"/>
      <c r="T39" s="629"/>
      <c r="U39" s="178"/>
      <c r="V39" s="178">
        <f t="shared" ca="1" si="14"/>
        <v>0</v>
      </c>
      <c r="W39" s="178"/>
      <c r="X39" s="178">
        <f t="shared" si="15"/>
        <v>0</v>
      </c>
      <c r="Y39" s="166">
        <f t="shared" si="16"/>
        <v>0</v>
      </c>
      <c r="AA39" s="460" t="b">
        <f t="shared" si="4"/>
        <v>0</v>
      </c>
      <c r="AB39" s="257" t="b">
        <f t="shared" si="5"/>
        <v>0</v>
      </c>
      <c r="AC39" s="459">
        <f t="shared" si="6"/>
        <v>0</v>
      </c>
      <c r="AD39" s="460" t="b">
        <f t="shared" si="7"/>
        <v>0</v>
      </c>
      <c r="AE39" s="257" t="b">
        <f t="shared" si="8"/>
        <v>0</v>
      </c>
      <c r="AF39" s="257" t="b">
        <f t="shared" si="8"/>
        <v>0</v>
      </c>
      <c r="AG39" s="459">
        <f t="shared" si="9"/>
        <v>0</v>
      </c>
      <c r="AH39" s="460" t="b">
        <f t="shared" si="10"/>
        <v>0</v>
      </c>
      <c r="AI39" s="257" t="b">
        <f t="shared" si="10"/>
        <v>0</v>
      </c>
      <c r="AJ39" s="257" t="b">
        <f t="shared" si="10"/>
        <v>0</v>
      </c>
      <c r="AK39" s="257" t="b">
        <f t="shared" si="10"/>
        <v>0</v>
      </c>
      <c r="AL39" s="459">
        <f t="shared" si="11"/>
        <v>0</v>
      </c>
    </row>
    <row r="40" spans="1:38" x14ac:dyDescent="0.2">
      <c r="A40" s="494"/>
      <c r="B40" s="686"/>
      <c r="C40" s="687"/>
      <c r="D40" s="687"/>
      <c r="E40" s="686"/>
      <c r="F40" s="687"/>
      <c r="G40" s="687"/>
      <c r="H40" s="686"/>
      <c r="I40" s="687"/>
      <c r="J40" s="687"/>
      <c r="K40" s="687"/>
      <c r="L40" s="495"/>
      <c r="M40" s="164" t="str">
        <f t="shared" ref="M40" ca="1" si="71">IF(AL40&gt;0,"***",IF(A40&gt;0,IF(submit_date&gt;0,IF(submit_date-A40&gt;60,"disallow",IF(L40&gt;=75,IF(AND(N40="",TODAY()-submit_date&gt;30),"disallow","*")," ")),IF(TODAY()-A40&gt;60,"disallow",IF(L40&gt;=75,IF(AND(N40="",TODAY()-submit_date&gt;30),"disallow","*")," "))),IF(L40&gt;=75,IF(AND(N40="",TODAY()-submit_date&gt;30),"disallow","*"),"")))</f>
        <v/>
      </c>
      <c r="N40" s="161"/>
      <c r="O40" s="163" t="str">
        <f t="shared" ref="O40" ca="1" si="72">IF(AND(L40&gt;=75,M40&lt;&gt;"disallow"),1," ")</f>
        <v xml:space="preserve"> </v>
      </c>
      <c r="P40" s="169"/>
      <c r="Q40" s="629"/>
      <c r="R40" s="629"/>
      <c r="S40" s="629"/>
      <c r="T40" s="629"/>
      <c r="U40" s="178"/>
      <c r="V40" s="178">
        <f t="shared" ref="V40" ca="1" si="73">IF(AND(W40=0,M40="disallow"),L40,0)</f>
        <v>0</v>
      </c>
      <c r="W40" s="178"/>
      <c r="X40" s="178">
        <f t="shared" ref="X40" si="74">IF(W40&gt;0,-U40,0)</f>
        <v>0</v>
      </c>
      <c r="Y40" s="166">
        <f t="shared" ref="Y40" si="75">IF(AND(A40&lt;Fiscal_Start_Date,submit_date-A40&lt;90,submit_date&gt;=0),L40,0)</f>
        <v>0</v>
      </c>
      <c r="AA40" s="460" t="b">
        <f t="shared" si="4"/>
        <v>0</v>
      </c>
      <c r="AB40" s="257" t="b">
        <f t="shared" ref="AB40" si="76">SUMPRODUCT(--ISNUMBER(SEARCH(AA$15,$E40:$K40)))&gt;0</f>
        <v>0</v>
      </c>
      <c r="AC40" s="459">
        <f t="shared" ref="AC40" si="77">COUNTIF(AA40:AB40,"true")</f>
        <v>0</v>
      </c>
      <c r="AD40" s="460" t="b">
        <f t="shared" si="7"/>
        <v>0</v>
      </c>
      <c r="AE40" s="257" t="b">
        <f t="shared" si="8"/>
        <v>0</v>
      </c>
      <c r="AF40" s="257" t="b">
        <f t="shared" si="8"/>
        <v>0</v>
      </c>
      <c r="AG40" s="459">
        <f t="shared" ref="AG40" si="78">COUNTIF(AD40:AF40,"true")</f>
        <v>0</v>
      </c>
      <c r="AH40" s="460" t="b">
        <f t="shared" si="10"/>
        <v>0</v>
      </c>
      <c r="AI40" s="257" t="b">
        <f t="shared" si="10"/>
        <v>0</v>
      </c>
      <c r="AJ40" s="257" t="b">
        <f t="shared" si="10"/>
        <v>0</v>
      </c>
      <c r="AK40" s="257" t="b">
        <f t="shared" si="10"/>
        <v>0</v>
      </c>
      <c r="AL40" s="459">
        <f t="shared" ref="AL40" si="79">COUNTIF(AH40:AK40,"True")</f>
        <v>0</v>
      </c>
    </row>
    <row r="41" spans="1:38" x14ac:dyDescent="0.2">
      <c r="A41" s="494"/>
      <c r="B41" s="686"/>
      <c r="C41" s="687"/>
      <c r="D41" s="687"/>
      <c r="E41" s="686"/>
      <c r="F41" s="687"/>
      <c r="G41" s="687"/>
      <c r="H41" s="686"/>
      <c r="I41" s="687"/>
      <c r="J41" s="687"/>
      <c r="K41" s="687"/>
      <c r="L41" s="495"/>
      <c r="M41" s="164" t="str">
        <f t="shared" ca="1" si="0"/>
        <v/>
      </c>
      <c r="N41" s="161"/>
      <c r="O41" s="163" t="str">
        <f t="shared" ca="1" si="13"/>
        <v xml:space="preserve"> </v>
      </c>
      <c r="P41" s="169"/>
      <c r="Q41" s="629"/>
      <c r="R41" s="629"/>
      <c r="S41" s="629"/>
      <c r="T41" s="629"/>
      <c r="U41" s="178"/>
      <c r="V41" s="178">
        <f t="shared" ca="1" si="14"/>
        <v>0</v>
      </c>
      <c r="W41" s="178"/>
      <c r="X41" s="178">
        <f t="shared" si="15"/>
        <v>0</v>
      </c>
      <c r="Y41" s="166">
        <f t="shared" si="16"/>
        <v>0</v>
      </c>
      <c r="AA41" s="460" t="b">
        <f t="shared" si="4"/>
        <v>0</v>
      </c>
      <c r="AB41" s="257" t="b">
        <f t="shared" si="5"/>
        <v>0</v>
      </c>
      <c r="AC41" s="459">
        <f t="shared" si="6"/>
        <v>0</v>
      </c>
      <c r="AD41" s="460" t="b">
        <f t="shared" si="7"/>
        <v>0</v>
      </c>
      <c r="AE41" s="257" t="b">
        <f t="shared" si="8"/>
        <v>0</v>
      </c>
      <c r="AF41" s="257" t="b">
        <f t="shared" si="8"/>
        <v>0</v>
      </c>
      <c r="AG41" s="459">
        <f t="shared" si="9"/>
        <v>0</v>
      </c>
      <c r="AH41" s="460" t="b">
        <f t="shared" si="10"/>
        <v>0</v>
      </c>
      <c r="AI41" s="257" t="b">
        <f t="shared" si="10"/>
        <v>0</v>
      </c>
      <c r="AJ41" s="257" t="b">
        <f t="shared" si="10"/>
        <v>0</v>
      </c>
      <c r="AK41" s="257" t="b">
        <f t="shared" si="10"/>
        <v>0</v>
      </c>
      <c r="AL41" s="459">
        <f t="shared" si="11"/>
        <v>0</v>
      </c>
    </row>
    <row r="42" spans="1:38" x14ac:dyDescent="0.2">
      <c r="A42" s="494"/>
      <c r="B42" s="686"/>
      <c r="C42" s="687"/>
      <c r="D42" s="687"/>
      <c r="E42" s="686"/>
      <c r="F42" s="687"/>
      <c r="G42" s="687"/>
      <c r="H42" s="686"/>
      <c r="I42" s="687"/>
      <c r="J42" s="687"/>
      <c r="K42" s="687"/>
      <c r="L42" s="495"/>
      <c r="M42" s="164" t="str">
        <f t="shared" ref="M42" ca="1" si="80">IF(AL42&gt;0,"***",IF(A42&gt;0,IF(submit_date&gt;0,IF(submit_date-A42&gt;60,"disallow",IF(L42&gt;=75,IF(AND(N42="",TODAY()-submit_date&gt;30),"disallow","*")," ")),IF(TODAY()-A42&gt;60,"disallow",IF(L42&gt;=75,IF(AND(N42="",TODAY()-submit_date&gt;30),"disallow","*")," "))),IF(L42&gt;=75,IF(AND(N42="",TODAY()-submit_date&gt;30),"disallow","*"),"")))</f>
        <v/>
      </c>
      <c r="N42" s="161"/>
      <c r="O42" s="163" t="str">
        <f t="shared" ref="O42" ca="1" si="81">IF(AND(L42&gt;=75,M42&lt;&gt;"disallow"),1," ")</f>
        <v xml:space="preserve"> </v>
      </c>
      <c r="P42" s="169"/>
      <c r="Q42" s="629"/>
      <c r="R42" s="629"/>
      <c r="S42" s="629"/>
      <c r="T42" s="629"/>
      <c r="U42" s="178"/>
      <c r="V42" s="178">
        <f t="shared" ref="V42" ca="1" si="82">IF(AND(W42=0,M42="disallow"),L42,0)</f>
        <v>0</v>
      </c>
      <c r="W42" s="178"/>
      <c r="X42" s="178">
        <f t="shared" ref="X42" si="83">IF(W42&gt;0,-U42,0)</f>
        <v>0</v>
      </c>
      <c r="Y42" s="166">
        <f t="shared" ref="Y42" si="84">IF(AND(A42&lt;Fiscal_Start_Date,submit_date-A42&lt;90,submit_date&gt;=0),L42,0)</f>
        <v>0</v>
      </c>
      <c r="AA42" s="460" t="b">
        <f t="shared" si="4"/>
        <v>0</v>
      </c>
      <c r="AB42" s="257" t="b">
        <f t="shared" ref="AB42" si="85">SUMPRODUCT(--ISNUMBER(SEARCH(AA$15,$E42:$K42)))&gt;0</f>
        <v>0</v>
      </c>
      <c r="AC42" s="459">
        <f t="shared" ref="AC42" si="86">COUNTIF(AA42:AB42,"true")</f>
        <v>0</v>
      </c>
      <c r="AD42" s="460" t="b">
        <f t="shared" si="7"/>
        <v>0</v>
      </c>
      <c r="AE42" s="257" t="b">
        <f t="shared" si="8"/>
        <v>0</v>
      </c>
      <c r="AF42" s="257" t="b">
        <f t="shared" si="8"/>
        <v>0</v>
      </c>
      <c r="AG42" s="459">
        <f t="shared" ref="AG42" si="87">COUNTIF(AD42:AF42,"true")</f>
        <v>0</v>
      </c>
      <c r="AH42" s="460" t="b">
        <f t="shared" si="10"/>
        <v>0</v>
      </c>
      <c r="AI42" s="257" t="b">
        <f t="shared" si="10"/>
        <v>0</v>
      </c>
      <c r="AJ42" s="257" t="b">
        <f t="shared" si="10"/>
        <v>0</v>
      </c>
      <c r="AK42" s="257" t="b">
        <f t="shared" si="10"/>
        <v>0</v>
      </c>
      <c r="AL42" s="459">
        <f t="shared" ref="AL42" si="88">COUNTIF(AH42:AK42,"True")</f>
        <v>0</v>
      </c>
    </row>
    <row r="43" spans="1:38" x14ac:dyDescent="0.2">
      <c r="A43" s="494"/>
      <c r="B43" s="686"/>
      <c r="C43" s="687"/>
      <c r="D43" s="687"/>
      <c r="E43" s="686"/>
      <c r="F43" s="687"/>
      <c r="G43" s="687"/>
      <c r="H43" s="686"/>
      <c r="I43" s="687"/>
      <c r="J43" s="687"/>
      <c r="K43" s="687"/>
      <c r="L43" s="495"/>
      <c r="M43" s="164" t="str">
        <f t="shared" ca="1" si="0"/>
        <v/>
      </c>
      <c r="N43" s="161"/>
      <c r="O43" s="163" t="str">
        <f t="shared" ca="1" si="13"/>
        <v xml:space="preserve"> </v>
      </c>
      <c r="P43" s="169"/>
      <c r="Q43" s="629"/>
      <c r="R43" s="629"/>
      <c r="S43" s="629"/>
      <c r="T43" s="629"/>
      <c r="U43" s="178"/>
      <c r="V43" s="178">
        <f t="shared" ca="1" si="14"/>
        <v>0</v>
      </c>
      <c r="W43" s="178"/>
      <c r="X43" s="178">
        <f t="shared" si="15"/>
        <v>0</v>
      </c>
      <c r="Y43" s="166">
        <f t="shared" si="16"/>
        <v>0</v>
      </c>
      <c r="AA43" s="460" t="b">
        <f t="shared" si="4"/>
        <v>0</v>
      </c>
      <c r="AB43" s="257" t="b">
        <f t="shared" si="5"/>
        <v>0</v>
      </c>
      <c r="AC43" s="459">
        <f t="shared" si="6"/>
        <v>0</v>
      </c>
      <c r="AD43" s="460" t="b">
        <f t="shared" si="7"/>
        <v>0</v>
      </c>
      <c r="AE43" s="257" t="b">
        <f t="shared" si="8"/>
        <v>0</v>
      </c>
      <c r="AF43" s="257" t="b">
        <f t="shared" si="8"/>
        <v>0</v>
      </c>
      <c r="AG43" s="459">
        <f t="shared" si="9"/>
        <v>0</v>
      </c>
      <c r="AH43" s="460" t="b">
        <f t="shared" si="10"/>
        <v>0</v>
      </c>
      <c r="AI43" s="257" t="b">
        <f t="shared" si="10"/>
        <v>0</v>
      </c>
      <c r="AJ43" s="257" t="b">
        <f t="shared" si="10"/>
        <v>0</v>
      </c>
      <c r="AK43" s="257" t="b">
        <f t="shared" si="10"/>
        <v>0</v>
      </c>
      <c r="AL43" s="459">
        <f t="shared" si="11"/>
        <v>0</v>
      </c>
    </row>
    <row r="44" spans="1:38" x14ac:dyDescent="0.2">
      <c r="A44" s="494"/>
      <c r="B44" s="686"/>
      <c r="C44" s="687"/>
      <c r="D44" s="687"/>
      <c r="E44" s="686"/>
      <c r="F44" s="687"/>
      <c r="G44" s="687"/>
      <c r="H44" s="686"/>
      <c r="I44" s="687"/>
      <c r="J44" s="687"/>
      <c r="K44" s="687"/>
      <c r="L44" s="495"/>
      <c r="M44" s="164" t="str">
        <f t="shared" ca="1" si="0"/>
        <v/>
      </c>
      <c r="N44" s="161"/>
      <c r="O44" s="163" t="str">
        <f t="shared" ca="1" si="2"/>
        <v xml:space="preserve"> </v>
      </c>
      <c r="P44" s="168"/>
      <c r="Q44" s="629"/>
      <c r="R44" s="629"/>
      <c r="S44" s="629"/>
      <c r="T44" s="629"/>
      <c r="U44" s="178"/>
      <c r="V44" s="178">
        <f t="shared" ca="1" si="3"/>
        <v>0</v>
      </c>
      <c r="W44" s="178"/>
      <c r="X44" s="178">
        <f t="shared" si="12"/>
        <v>0</v>
      </c>
      <c r="Y44" s="166">
        <f t="shared" si="1"/>
        <v>0</v>
      </c>
      <c r="AA44" s="460" t="b">
        <f t="shared" si="4"/>
        <v>0</v>
      </c>
      <c r="AB44" s="257" t="b">
        <f t="shared" si="5"/>
        <v>0</v>
      </c>
      <c r="AC44" s="459">
        <f t="shared" si="6"/>
        <v>0</v>
      </c>
      <c r="AD44" s="460" t="b">
        <f t="shared" si="7"/>
        <v>0</v>
      </c>
      <c r="AE44" s="257" t="b">
        <f t="shared" si="8"/>
        <v>0</v>
      </c>
      <c r="AF44" s="257" t="b">
        <f t="shared" si="8"/>
        <v>0</v>
      </c>
      <c r="AG44" s="459">
        <f t="shared" si="9"/>
        <v>0</v>
      </c>
      <c r="AH44" s="460" t="b">
        <f t="shared" si="10"/>
        <v>0</v>
      </c>
      <c r="AI44" s="257" t="b">
        <f t="shared" si="10"/>
        <v>0</v>
      </c>
      <c r="AJ44" s="257" t="b">
        <f t="shared" si="10"/>
        <v>0</v>
      </c>
      <c r="AK44" s="257" t="b">
        <f t="shared" si="10"/>
        <v>0</v>
      </c>
      <c r="AL44" s="459">
        <f t="shared" si="11"/>
        <v>0</v>
      </c>
    </row>
    <row r="45" spans="1:38" x14ac:dyDescent="0.2">
      <c r="A45" s="494"/>
      <c r="B45" s="686"/>
      <c r="C45" s="687"/>
      <c r="D45" s="687"/>
      <c r="E45" s="686"/>
      <c r="F45" s="687"/>
      <c r="G45" s="687"/>
      <c r="H45" s="686"/>
      <c r="I45" s="687"/>
      <c r="J45" s="687"/>
      <c r="K45" s="687"/>
      <c r="L45" s="495"/>
      <c r="M45" s="164" t="str">
        <f t="shared" ca="1" si="0"/>
        <v/>
      </c>
      <c r="N45" s="161"/>
      <c r="O45" s="163" t="str">
        <f t="shared" ca="1" si="2"/>
        <v xml:space="preserve"> </v>
      </c>
      <c r="P45" s="168"/>
      <c r="Q45" s="629"/>
      <c r="R45" s="629"/>
      <c r="S45" s="629"/>
      <c r="T45" s="629"/>
      <c r="U45" s="178"/>
      <c r="V45" s="178">
        <f t="shared" ca="1" si="3"/>
        <v>0</v>
      </c>
      <c r="W45" s="178"/>
      <c r="X45" s="178">
        <f t="shared" si="12"/>
        <v>0</v>
      </c>
      <c r="Y45" s="166">
        <f t="shared" si="1"/>
        <v>0</v>
      </c>
      <c r="AA45" s="460" t="b">
        <f t="shared" si="4"/>
        <v>0</v>
      </c>
      <c r="AB45" s="257" t="b">
        <f t="shared" si="5"/>
        <v>0</v>
      </c>
      <c r="AC45" s="459">
        <f t="shared" si="6"/>
        <v>0</v>
      </c>
      <c r="AD45" s="460" t="b">
        <f t="shared" si="7"/>
        <v>0</v>
      </c>
      <c r="AE45" s="257" t="b">
        <f t="shared" si="8"/>
        <v>0</v>
      </c>
      <c r="AF45" s="257" t="b">
        <f t="shared" si="8"/>
        <v>0</v>
      </c>
      <c r="AG45" s="459">
        <f t="shared" si="9"/>
        <v>0</v>
      </c>
      <c r="AH45" s="460" t="b">
        <f t="shared" si="10"/>
        <v>0</v>
      </c>
      <c r="AI45" s="257" t="b">
        <f t="shared" si="10"/>
        <v>0</v>
      </c>
      <c r="AJ45" s="257" t="b">
        <f t="shared" si="10"/>
        <v>0</v>
      </c>
      <c r="AK45" s="257" t="b">
        <f t="shared" si="10"/>
        <v>0</v>
      </c>
      <c r="AL45" s="459">
        <f t="shared" si="11"/>
        <v>0</v>
      </c>
    </row>
    <row r="46" spans="1:38" x14ac:dyDescent="0.2">
      <c r="A46" s="494"/>
      <c r="B46" s="686"/>
      <c r="C46" s="687"/>
      <c r="D46" s="687"/>
      <c r="E46" s="686"/>
      <c r="F46" s="687"/>
      <c r="G46" s="687"/>
      <c r="H46" s="686"/>
      <c r="I46" s="687"/>
      <c r="J46" s="687"/>
      <c r="K46" s="687"/>
      <c r="L46" s="495"/>
      <c r="M46" s="164" t="str">
        <f t="shared" ca="1" si="0"/>
        <v/>
      </c>
      <c r="N46" s="161"/>
      <c r="O46" s="163" t="str">
        <f t="shared" ca="1" si="2"/>
        <v xml:space="preserve"> </v>
      </c>
      <c r="P46" s="168"/>
      <c r="Q46" s="629"/>
      <c r="R46" s="629"/>
      <c r="S46" s="629"/>
      <c r="T46" s="629"/>
      <c r="U46" s="178"/>
      <c r="V46" s="178">
        <f t="shared" ca="1" si="3"/>
        <v>0</v>
      </c>
      <c r="W46" s="178"/>
      <c r="X46" s="178">
        <f t="shared" si="12"/>
        <v>0</v>
      </c>
      <c r="Y46" s="166">
        <f t="shared" si="1"/>
        <v>0</v>
      </c>
      <c r="AA46" s="460" t="b">
        <f t="shared" si="4"/>
        <v>0</v>
      </c>
      <c r="AB46" s="257" t="b">
        <f t="shared" si="5"/>
        <v>0</v>
      </c>
      <c r="AC46" s="459">
        <f t="shared" si="6"/>
        <v>0</v>
      </c>
      <c r="AD46" s="460" t="b">
        <f t="shared" si="7"/>
        <v>0</v>
      </c>
      <c r="AE46" s="257" t="b">
        <f t="shared" si="8"/>
        <v>0</v>
      </c>
      <c r="AF46" s="257" t="b">
        <f t="shared" si="8"/>
        <v>0</v>
      </c>
      <c r="AG46" s="459">
        <f t="shared" si="9"/>
        <v>0</v>
      </c>
      <c r="AH46" s="460" t="b">
        <f t="shared" si="10"/>
        <v>0</v>
      </c>
      <c r="AI46" s="257" t="b">
        <f t="shared" si="10"/>
        <v>0</v>
      </c>
      <c r="AJ46" s="257" t="b">
        <f t="shared" si="10"/>
        <v>0</v>
      </c>
      <c r="AK46" s="257" t="b">
        <f t="shared" si="10"/>
        <v>0</v>
      </c>
      <c r="AL46" s="459">
        <f t="shared" si="11"/>
        <v>0</v>
      </c>
    </row>
    <row r="47" spans="1:38" x14ac:dyDescent="0.2">
      <c r="A47" s="494"/>
      <c r="B47" s="686"/>
      <c r="C47" s="687"/>
      <c r="D47" s="687"/>
      <c r="E47" s="686"/>
      <c r="F47" s="687"/>
      <c r="G47" s="687"/>
      <c r="H47" s="686"/>
      <c r="I47" s="687"/>
      <c r="J47" s="687"/>
      <c r="K47" s="687"/>
      <c r="L47" s="495"/>
      <c r="M47" s="164" t="str">
        <f t="shared" ca="1" si="0"/>
        <v/>
      </c>
      <c r="N47" s="161"/>
      <c r="O47" s="163" t="str">
        <f t="shared" ca="1" si="2"/>
        <v xml:space="preserve"> </v>
      </c>
      <c r="P47" s="169"/>
      <c r="Q47" s="629"/>
      <c r="R47" s="629"/>
      <c r="S47" s="629"/>
      <c r="T47" s="629"/>
      <c r="U47" s="178"/>
      <c r="V47" s="178">
        <f t="shared" ca="1" si="3"/>
        <v>0</v>
      </c>
      <c r="W47" s="178"/>
      <c r="X47" s="178">
        <f t="shared" si="12"/>
        <v>0</v>
      </c>
      <c r="Y47" s="166">
        <f t="shared" si="1"/>
        <v>0</v>
      </c>
      <c r="AA47" s="460" t="b">
        <f t="shared" si="4"/>
        <v>0</v>
      </c>
      <c r="AB47" s="257" t="b">
        <f t="shared" si="5"/>
        <v>0</v>
      </c>
      <c r="AC47" s="459">
        <f t="shared" si="6"/>
        <v>0</v>
      </c>
      <c r="AD47" s="460" t="b">
        <f t="shared" si="7"/>
        <v>0</v>
      </c>
      <c r="AE47" s="257" t="b">
        <f t="shared" si="8"/>
        <v>0</v>
      </c>
      <c r="AF47" s="257" t="b">
        <f t="shared" si="8"/>
        <v>0</v>
      </c>
      <c r="AG47" s="459">
        <f t="shared" si="9"/>
        <v>0</v>
      </c>
      <c r="AH47" s="460" t="b">
        <f t="shared" si="10"/>
        <v>0</v>
      </c>
      <c r="AI47" s="257" t="b">
        <f t="shared" si="10"/>
        <v>0</v>
      </c>
      <c r="AJ47" s="257" t="b">
        <f t="shared" si="10"/>
        <v>0</v>
      </c>
      <c r="AK47" s="257" t="b">
        <f t="shared" si="10"/>
        <v>0</v>
      </c>
      <c r="AL47" s="459">
        <f t="shared" si="11"/>
        <v>0</v>
      </c>
    </row>
    <row r="48" spans="1:38" x14ac:dyDescent="0.2">
      <c r="A48" s="494"/>
      <c r="B48" s="686"/>
      <c r="C48" s="687"/>
      <c r="D48" s="687"/>
      <c r="E48" s="686"/>
      <c r="F48" s="687"/>
      <c r="G48" s="687"/>
      <c r="H48" s="686"/>
      <c r="I48" s="687"/>
      <c r="J48" s="687"/>
      <c r="K48" s="687"/>
      <c r="L48" s="495"/>
      <c r="M48" s="164" t="str">
        <f t="shared" ca="1" si="0"/>
        <v/>
      </c>
      <c r="N48" s="161"/>
      <c r="O48" s="163" t="str">
        <f t="shared" ca="1" si="2"/>
        <v xml:space="preserve"> </v>
      </c>
      <c r="P48" s="168"/>
      <c r="Q48" s="629"/>
      <c r="R48" s="629"/>
      <c r="S48" s="629"/>
      <c r="T48" s="629"/>
      <c r="U48" s="178"/>
      <c r="V48" s="178">
        <f t="shared" ca="1" si="3"/>
        <v>0</v>
      </c>
      <c r="W48" s="178"/>
      <c r="X48" s="178">
        <f t="shared" si="12"/>
        <v>0</v>
      </c>
      <c r="Y48" s="166">
        <f t="shared" si="1"/>
        <v>0</v>
      </c>
      <c r="AA48" s="460" t="b">
        <f t="shared" si="4"/>
        <v>0</v>
      </c>
      <c r="AB48" s="257" t="b">
        <f t="shared" si="5"/>
        <v>0</v>
      </c>
      <c r="AC48" s="459">
        <f t="shared" si="6"/>
        <v>0</v>
      </c>
      <c r="AD48" s="460" t="b">
        <f t="shared" si="7"/>
        <v>0</v>
      </c>
      <c r="AE48" s="257" t="b">
        <f t="shared" si="7"/>
        <v>0</v>
      </c>
      <c r="AF48" s="257" t="b">
        <f t="shared" si="7"/>
        <v>0</v>
      </c>
      <c r="AG48" s="459">
        <f t="shared" si="9"/>
        <v>0</v>
      </c>
      <c r="AH48" s="460" t="b">
        <f t="shared" si="10"/>
        <v>0</v>
      </c>
      <c r="AI48" s="257" t="b">
        <f t="shared" si="10"/>
        <v>0</v>
      </c>
      <c r="AJ48" s="257" t="b">
        <f t="shared" si="10"/>
        <v>0</v>
      </c>
      <c r="AK48" s="257" t="b">
        <f t="shared" si="10"/>
        <v>0</v>
      </c>
      <c r="AL48" s="459">
        <f t="shared" si="11"/>
        <v>0</v>
      </c>
    </row>
    <row r="49" spans="1:38" x14ac:dyDescent="0.2">
      <c r="A49" s="494"/>
      <c r="B49" s="686"/>
      <c r="C49" s="687"/>
      <c r="D49" s="687"/>
      <c r="E49" s="686"/>
      <c r="F49" s="687"/>
      <c r="G49" s="687"/>
      <c r="H49" s="686"/>
      <c r="I49" s="687"/>
      <c r="J49" s="687"/>
      <c r="K49" s="687"/>
      <c r="L49" s="495"/>
      <c r="M49" s="164" t="str">
        <f t="shared" ca="1" si="0"/>
        <v/>
      </c>
      <c r="N49" s="161"/>
      <c r="O49" s="163" t="str">
        <f t="shared" ca="1" si="2"/>
        <v xml:space="preserve"> </v>
      </c>
      <c r="P49" s="168"/>
      <c r="Q49" s="629"/>
      <c r="R49" s="629"/>
      <c r="S49" s="629"/>
      <c r="T49" s="629"/>
      <c r="U49" s="178"/>
      <c r="V49" s="178">
        <f t="shared" ca="1" si="3"/>
        <v>0</v>
      </c>
      <c r="W49" s="178"/>
      <c r="X49" s="178">
        <f t="shared" si="12"/>
        <v>0</v>
      </c>
      <c r="Y49" s="166">
        <f t="shared" si="1"/>
        <v>0</v>
      </c>
      <c r="AA49" s="460" t="b">
        <f t="shared" si="4"/>
        <v>0</v>
      </c>
      <c r="AB49" s="257" t="b">
        <f t="shared" si="5"/>
        <v>0</v>
      </c>
      <c r="AC49" s="459">
        <f t="shared" si="6"/>
        <v>0</v>
      </c>
      <c r="AD49" s="460" t="b">
        <f t="shared" si="7"/>
        <v>0</v>
      </c>
      <c r="AE49" s="257" t="b">
        <f t="shared" si="7"/>
        <v>0</v>
      </c>
      <c r="AF49" s="257" t="b">
        <f t="shared" si="7"/>
        <v>0</v>
      </c>
      <c r="AG49" s="459">
        <f t="shared" si="9"/>
        <v>0</v>
      </c>
      <c r="AH49" s="460" t="b">
        <f t="shared" si="10"/>
        <v>0</v>
      </c>
      <c r="AI49" s="257" t="b">
        <f t="shared" si="10"/>
        <v>0</v>
      </c>
      <c r="AJ49" s="257" t="b">
        <f t="shared" si="10"/>
        <v>0</v>
      </c>
      <c r="AK49" s="257" t="b">
        <f t="shared" si="10"/>
        <v>0</v>
      </c>
      <c r="AL49" s="459">
        <f t="shared" si="11"/>
        <v>0</v>
      </c>
    </row>
    <row r="50" spans="1:38" x14ac:dyDescent="0.2">
      <c r="A50" s="494"/>
      <c r="B50" s="686"/>
      <c r="C50" s="687"/>
      <c r="D50" s="687"/>
      <c r="E50" s="686"/>
      <c r="F50" s="687"/>
      <c r="G50" s="687"/>
      <c r="H50" s="686"/>
      <c r="I50" s="687"/>
      <c r="J50" s="687"/>
      <c r="K50" s="687"/>
      <c r="L50" s="495"/>
      <c r="M50" s="164" t="str">
        <f t="shared" ca="1" si="0"/>
        <v/>
      </c>
      <c r="N50" s="161"/>
      <c r="O50" s="163" t="str">
        <f t="shared" ca="1" si="2"/>
        <v xml:space="preserve"> </v>
      </c>
      <c r="P50" s="168"/>
      <c r="Q50" s="629"/>
      <c r="R50" s="629"/>
      <c r="S50" s="629"/>
      <c r="T50" s="629"/>
      <c r="U50" s="178"/>
      <c r="V50" s="178">
        <f t="shared" ca="1" si="3"/>
        <v>0</v>
      </c>
      <c r="W50" s="178"/>
      <c r="X50" s="178">
        <f t="shared" si="12"/>
        <v>0</v>
      </c>
      <c r="Y50" s="166">
        <f t="shared" si="1"/>
        <v>0</v>
      </c>
      <c r="AA50" s="460" t="b">
        <f t="shared" si="4"/>
        <v>0</v>
      </c>
      <c r="AB50" s="257" t="b">
        <f t="shared" si="5"/>
        <v>0</v>
      </c>
      <c r="AC50" s="459">
        <f t="shared" si="6"/>
        <v>0</v>
      </c>
      <c r="AD50" s="460" t="b">
        <f t="shared" si="7"/>
        <v>0</v>
      </c>
      <c r="AE50" s="257" t="b">
        <f t="shared" si="7"/>
        <v>0</v>
      </c>
      <c r="AF50" s="257" t="b">
        <f t="shared" si="7"/>
        <v>0</v>
      </c>
      <c r="AG50" s="459">
        <f t="shared" si="9"/>
        <v>0</v>
      </c>
      <c r="AH50" s="460" t="b">
        <f t="shared" si="10"/>
        <v>0</v>
      </c>
      <c r="AI50" s="257" t="b">
        <f t="shared" si="10"/>
        <v>0</v>
      </c>
      <c r="AJ50" s="257" t="b">
        <f t="shared" si="10"/>
        <v>0</v>
      </c>
      <c r="AK50" s="257" t="b">
        <f t="shared" si="10"/>
        <v>0</v>
      </c>
      <c r="AL50" s="459">
        <f t="shared" si="11"/>
        <v>0</v>
      </c>
    </row>
    <row r="51" spans="1:38" x14ac:dyDescent="0.2">
      <c r="A51" s="494"/>
      <c r="B51" s="686"/>
      <c r="C51" s="687"/>
      <c r="D51" s="687"/>
      <c r="E51" s="686"/>
      <c r="F51" s="687"/>
      <c r="G51" s="687"/>
      <c r="H51" s="686"/>
      <c r="I51" s="687"/>
      <c r="J51" s="687"/>
      <c r="K51" s="687"/>
      <c r="L51" s="495"/>
      <c r="M51" s="164" t="str">
        <f t="shared" ca="1" si="0"/>
        <v/>
      </c>
      <c r="N51" s="161"/>
      <c r="O51" s="163" t="str">
        <f t="shared" ca="1" si="2"/>
        <v xml:space="preserve"> </v>
      </c>
      <c r="P51" s="168"/>
      <c r="Q51" s="629"/>
      <c r="R51" s="629"/>
      <c r="S51" s="629"/>
      <c r="T51" s="629"/>
      <c r="U51" s="178"/>
      <c r="V51" s="178">
        <f t="shared" ca="1" si="3"/>
        <v>0</v>
      </c>
      <c r="W51" s="178"/>
      <c r="X51" s="178">
        <f t="shared" si="12"/>
        <v>0</v>
      </c>
      <c r="Y51" s="166">
        <f t="shared" si="1"/>
        <v>0</v>
      </c>
      <c r="AA51" s="460" t="b">
        <f t="shared" si="4"/>
        <v>0</v>
      </c>
      <c r="AB51" s="257" t="b">
        <f t="shared" si="5"/>
        <v>0</v>
      </c>
      <c r="AC51" s="459">
        <f t="shared" si="6"/>
        <v>0</v>
      </c>
      <c r="AD51" s="460" t="b">
        <f t="shared" si="7"/>
        <v>0</v>
      </c>
      <c r="AE51" s="257" t="b">
        <f t="shared" si="7"/>
        <v>0</v>
      </c>
      <c r="AF51" s="257" t="b">
        <f t="shared" si="7"/>
        <v>0</v>
      </c>
      <c r="AG51" s="459">
        <f t="shared" si="9"/>
        <v>0</v>
      </c>
      <c r="AH51" s="460" t="b">
        <f t="shared" si="10"/>
        <v>0</v>
      </c>
      <c r="AI51" s="257" t="b">
        <f t="shared" si="10"/>
        <v>0</v>
      </c>
      <c r="AJ51" s="257" t="b">
        <f t="shared" si="10"/>
        <v>0</v>
      </c>
      <c r="AK51" s="257" t="b">
        <f t="shared" si="10"/>
        <v>0</v>
      </c>
      <c r="AL51" s="459">
        <f t="shared" si="11"/>
        <v>0</v>
      </c>
    </row>
    <row r="52" spans="1:38" x14ac:dyDescent="0.2">
      <c r="A52" s="494"/>
      <c r="B52" s="686"/>
      <c r="C52" s="687"/>
      <c r="D52" s="687"/>
      <c r="E52" s="686"/>
      <c r="F52" s="687"/>
      <c r="G52" s="687"/>
      <c r="H52" s="686"/>
      <c r="I52" s="687"/>
      <c r="J52" s="687"/>
      <c r="K52" s="687"/>
      <c r="L52" s="495"/>
      <c r="M52" s="164" t="str">
        <f t="shared" ca="1" si="0"/>
        <v/>
      </c>
      <c r="N52" s="161"/>
      <c r="O52" s="163" t="str">
        <f t="shared" ca="1" si="2"/>
        <v xml:space="preserve"> </v>
      </c>
      <c r="P52" s="168"/>
      <c r="Q52" s="629"/>
      <c r="R52" s="629"/>
      <c r="S52" s="629"/>
      <c r="T52" s="629"/>
      <c r="U52" s="178"/>
      <c r="V52" s="178">
        <f t="shared" ca="1" si="3"/>
        <v>0</v>
      </c>
      <c r="W52" s="178"/>
      <c r="X52" s="178">
        <f t="shared" si="12"/>
        <v>0</v>
      </c>
      <c r="Y52" s="166">
        <f t="shared" si="1"/>
        <v>0</v>
      </c>
      <c r="AA52" s="460" t="b">
        <f t="shared" si="4"/>
        <v>0</v>
      </c>
      <c r="AB52" s="257" t="b">
        <f t="shared" si="5"/>
        <v>0</v>
      </c>
      <c r="AC52" s="459">
        <f t="shared" si="6"/>
        <v>0</v>
      </c>
      <c r="AD52" s="460" t="b">
        <f t="shared" si="7"/>
        <v>0</v>
      </c>
      <c r="AE52" s="257" t="b">
        <f t="shared" si="7"/>
        <v>0</v>
      </c>
      <c r="AF52" s="257" t="b">
        <f t="shared" si="7"/>
        <v>0</v>
      </c>
      <c r="AG52" s="459">
        <f t="shared" si="9"/>
        <v>0</v>
      </c>
      <c r="AH52" s="460" t="b">
        <f t="shared" si="10"/>
        <v>0</v>
      </c>
      <c r="AI52" s="257" t="b">
        <f t="shared" si="10"/>
        <v>0</v>
      </c>
      <c r="AJ52" s="257" t="b">
        <f t="shared" si="10"/>
        <v>0</v>
      </c>
      <c r="AK52" s="257" t="b">
        <f t="shared" si="10"/>
        <v>0</v>
      </c>
      <c r="AL52" s="459">
        <f t="shared" si="11"/>
        <v>0</v>
      </c>
    </row>
    <row r="53" spans="1:38" x14ac:dyDescent="0.2">
      <c r="A53" s="494"/>
      <c r="B53" s="686"/>
      <c r="C53" s="687"/>
      <c r="D53" s="687"/>
      <c r="E53" s="686"/>
      <c r="F53" s="687"/>
      <c r="G53" s="687"/>
      <c r="H53" s="686"/>
      <c r="I53" s="687"/>
      <c r="J53" s="687"/>
      <c r="K53" s="687"/>
      <c r="L53" s="495"/>
      <c r="M53" s="164" t="str">
        <f t="shared" ca="1" si="0"/>
        <v/>
      </c>
      <c r="N53" s="161"/>
      <c r="O53" s="163" t="str">
        <f t="shared" ca="1" si="2"/>
        <v xml:space="preserve"> </v>
      </c>
      <c r="P53" s="168"/>
      <c r="Q53" s="629"/>
      <c r="R53" s="629"/>
      <c r="S53" s="629"/>
      <c r="T53" s="629"/>
      <c r="U53" s="178"/>
      <c r="V53" s="178">
        <f t="shared" ca="1" si="3"/>
        <v>0</v>
      </c>
      <c r="W53" s="178"/>
      <c r="X53" s="178">
        <f t="shared" si="12"/>
        <v>0</v>
      </c>
      <c r="Y53" s="166">
        <f t="shared" si="1"/>
        <v>0</v>
      </c>
      <c r="AA53" s="460" t="b">
        <f t="shared" si="4"/>
        <v>0</v>
      </c>
      <c r="AB53" s="257" t="b">
        <f t="shared" si="5"/>
        <v>0</v>
      </c>
      <c r="AC53" s="459">
        <f t="shared" si="6"/>
        <v>0</v>
      </c>
      <c r="AD53" s="460" t="b">
        <f t="shared" si="7"/>
        <v>0</v>
      </c>
      <c r="AE53" s="257" t="b">
        <f t="shared" si="7"/>
        <v>0</v>
      </c>
      <c r="AF53" s="257" t="b">
        <f t="shared" si="7"/>
        <v>0</v>
      </c>
      <c r="AG53" s="459">
        <f t="shared" si="9"/>
        <v>0</v>
      </c>
      <c r="AH53" s="460" t="b">
        <f t="shared" si="10"/>
        <v>0</v>
      </c>
      <c r="AI53" s="257" t="b">
        <f t="shared" si="10"/>
        <v>0</v>
      </c>
      <c r="AJ53" s="257" t="b">
        <f t="shared" si="10"/>
        <v>0</v>
      </c>
      <c r="AK53" s="257" t="b">
        <f t="shared" si="10"/>
        <v>0</v>
      </c>
      <c r="AL53" s="459">
        <f t="shared" si="11"/>
        <v>0</v>
      </c>
    </row>
    <row r="54" spans="1:38" x14ac:dyDescent="0.2">
      <c r="A54" s="494"/>
      <c r="B54" s="686"/>
      <c r="C54" s="687"/>
      <c r="D54" s="687"/>
      <c r="E54" s="686"/>
      <c r="F54" s="687"/>
      <c r="G54" s="687"/>
      <c r="H54" s="686"/>
      <c r="I54" s="687"/>
      <c r="J54" s="687"/>
      <c r="K54" s="687"/>
      <c r="L54" s="495"/>
      <c r="M54" s="164" t="str">
        <f t="shared" ca="1" si="0"/>
        <v/>
      </c>
      <c r="N54" s="161"/>
      <c r="O54" s="163" t="str">
        <f t="shared" ca="1" si="2"/>
        <v xml:space="preserve"> </v>
      </c>
      <c r="P54" s="168"/>
      <c r="Q54" s="629"/>
      <c r="R54" s="629"/>
      <c r="S54" s="629"/>
      <c r="T54" s="629"/>
      <c r="U54" s="178"/>
      <c r="V54" s="178">
        <f t="shared" ca="1" si="3"/>
        <v>0</v>
      </c>
      <c r="W54" s="178"/>
      <c r="X54" s="178">
        <f t="shared" si="12"/>
        <v>0</v>
      </c>
      <c r="Y54" s="166">
        <f t="shared" si="1"/>
        <v>0</v>
      </c>
      <c r="AA54" s="460" t="b">
        <f t="shared" si="4"/>
        <v>0</v>
      </c>
      <c r="AB54" s="257" t="b">
        <f t="shared" si="5"/>
        <v>0</v>
      </c>
      <c r="AC54" s="459">
        <f t="shared" si="6"/>
        <v>0</v>
      </c>
      <c r="AD54" s="460" t="b">
        <f t="shared" si="7"/>
        <v>0</v>
      </c>
      <c r="AE54" s="257" t="b">
        <f t="shared" si="7"/>
        <v>0</v>
      </c>
      <c r="AF54" s="257" t="b">
        <f t="shared" si="7"/>
        <v>0</v>
      </c>
      <c r="AG54" s="459">
        <f t="shared" si="9"/>
        <v>0</v>
      </c>
      <c r="AH54" s="460" t="b">
        <f t="shared" si="10"/>
        <v>0</v>
      </c>
      <c r="AI54" s="257" t="b">
        <f t="shared" si="10"/>
        <v>0</v>
      </c>
      <c r="AJ54" s="257" t="b">
        <f t="shared" si="10"/>
        <v>0</v>
      </c>
      <c r="AK54" s="257" t="b">
        <f t="shared" si="10"/>
        <v>0</v>
      </c>
      <c r="AL54" s="459">
        <f t="shared" si="11"/>
        <v>0</v>
      </c>
    </row>
    <row r="55" spans="1:38" x14ac:dyDescent="0.2">
      <c r="A55" s="494"/>
      <c r="B55" s="686"/>
      <c r="C55" s="687"/>
      <c r="D55" s="687"/>
      <c r="E55" s="686"/>
      <c r="F55" s="687"/>
      <c r="G55" s="687"/>
      <c r="H55" s="686"/>
      <c r="I55" s="687"/>
      <c r="J55" s="687"/>
      <c r="K55" s="687"/>
      <c r="L55" s="495"/>
      <c r="M55" s="164" t="str">
        <f t="shared" ca="1" si="0"/>
        <v/>
      </c>
      <c r="N55" s="161"/>
      <c r="O55" s="163" t="str">
        <f t="shared" ca="1" si="2"/>
        <v xml:space="preserve"> </v>
      </c>
      <c r="P55" s="168"/>
      <c r="Q55" s="629"/>
      <c r="R55" s="629"/>
      <c r="S55" s="629"/>
      <c r="T55" s="629"/>
      <c r="U55" s="178"/>
      <c r="V55" s="178">
        <f t="shared" ca="1" si="3"/>
        <v>0</v>
      </c>
      <c r="W55" s="178"/>
      <c r="X55" s="178">
        <f t="shared" si="12"/>
        <v>0</v>
      </c>
      <c r="Y55" s="166">
        <f t="shared" si="1"/>
        <v>0</v>
      </c>
      <c r="AA55" s="460" t="b">
        <f t="shared" si="4"/>
        <v>0</v>
      </c>
      <c r="AB55" s="257" t="b">
        <f t="shared" si="5"/>
        <v>0</v>
      </c>
      <c r="AC55" s="459">
        <f t="shared" si="6"/>
        <v>0</v>
      </c>
      <c r="AD55" s="460" t="b">
        <f t="shared" si="7"/>
        <v>0</v>
      </c>
      <c r="AE55" s="257" t="b">
        <f t="shared" si="7"/>
        <v>0</v>
      </c>
      <c r="AF55" s="257" t="b">
        <f t="shared" si="7"/>
        <v>0</v>
      </c>
      <c r="AG55" s="459">
        <f t="shared" si="9"/>
        <v>0</v>
      </c>
      <c r="AH55" s="460" t="b">
        <f t="shared" si="10"/>
        <v>0</v>
      </c>
      <c r="AI55" s="257" t="b">
        <f t="shared" si="10"/>
        <v>0</v>
      </c>
      <c r="AJ55" s="257" t="b">
        <f t="shared" si="10"/>
        <v>0</v>
      </c>
      <c r="AK55" s="257" t="b">
        <f t="shared" si="10"/>
        <v>0</v>
      </c>
      <c r="AL55" s="459">
        <f t="shared" si="11"/>
        <v>0</v>
      </c>
    </row>
    <row r="56" spans="1:38" x14ac:dyDescent="0.2">
      <c r="A56" s="494"/>
      <c r="B56" s="686"/>
      <c r="C56" s="687"/>
      <c r="D56" s="687"/>
      <c r="E56" s="686"/>
      <c r="F56" s="687"/>
      <c r="G56" s="687"/>
      <c r="H56" s="686"/>
      <c r="I56" s="687"/>
      <c r="J56" s="687"/>
      <c r="K56" s="687"/>
      <c r="L56" s="495"/>
      <c r="M56" s="164" t="str">
        <f t="shared" ca="1" si="0"/>
        <v/>
      </c>
      <c r="N56" s="161"/>
      <c r="O56" s="163" t="str">
        <f t="shared" ca="1" si="2"/>
        <v xml:space="preserve"> </v>
      </c>
      <c r="P56" s="168"/>
      <c r="Q56" s="629"/>
      <c r="R56" s="629"/>
      <c r="S56" s="629"/>
      <c r="T56" s="629"/>
      <c r="U56" s="178"/>
      <c r="V56" s="178">
        <f t="shared" ca="1" si="3"/>
        <v>0</v>
      </c>
      <c r="W56" s="178"/>
      <c r="X56" s="178">
        <f t="shared" si="12"/>
        <v>0</v>
      </c>
      <c r="Y56" s="166">
        <f t="shared" si="1"/>
        <v>0</v>
      </c>
      <c r="AA56" s="460" t="b">
        <f t="shared" si="4"/>
        <v>0</v>
      </c>
      <c r="AB56" s="257" t="b">
        <f t="shared" si="5"/>
        <v>0</v>
      </c>
      <c r="AC56" s="459">
        <f t="shared" si="6"/>
        <v>0</v>
      </c>
      <c r="AD56" s="460" t="b">
        <f t="shared" si="7"/>
        <v>0</v>
      </c>
      <c r="AE56" s="257" t="b">
        <f t="shared" si="7"/>
        <v>0</v>
      </c>
      <c r="AF56" s="257" t="b">
        <f t="shared" si="7"/>
        <v>0</v>
      </c>
      <c r="AG56" s="459">
        <f t="shared" si="9"/>
        <v>0</v>
      </c>
      <c r="AH56" s="460" t="b">
        <f t="shared" si="10"/>
        <v>0</v>
      </c>
      <c r="AI56" s="257" t="b">
        <f t="shared" si="10"/>
        <v>0</v>
      </c>
      <c r="AJ56" s="257" t="b">
        <f t="shared" si="10"/>
        <v>0</v>
      </c>
      <c r="AK56" s="257" t="b">
        <f t="shared" si="10"/>
        <v>0</v>
      </c>
      <c r="AL56" s="459">
        <f t="shared" si="11"/>
        <v>0</v>
      </c>
    </row>
    <row r="57" spans="1:38" x14ac:dyDescent="0.2">
      <c r="A57" s="494"/>
      <c r="B57" s="686"/>
      <c r="C57" s="687"/>
      <c r="D57" s="687"/>
      <c r="E57" s="686"/>
      <c r="F57" s="687"/>
      <c r="G57" s="687"/>
      <c r="H57" s="686"/>
      <c r="I57" s="687"/>
      <c r="J57" s="687"/>
      <c r="K57" s="687"/>
      <c r="L57" s="495"/>
      <c r="M57" s="164" t="str">
        <f t="shared" ca="1" si="0"/>
        <v/>
      </c>
      <c r="N57" s="161"/>
      <c r="O57" s="163" t="str">
        <f t="shared" ca="1" si="2"/>
        <v xml:space="preserve"> </v>
      </c>
      <c r="P57" s="168"/>
      <c r="Q57" s="629"/>
      <c r="R57" s="629"/>
      <c r="S57" s="629"/>
      <c r="T57" s="629"/>
      <c r="U57" s="178"/>
      <c r="V57" s="178">
        <f t="shared" ca="1" si="3"/>
        <v>0</v>
      </c>
      <c r="W57" s="178"/>
      <c r="X57" s="178">
        <f t="shared" si="12"/>
        <v>0</v>
      </c>
      <c r="Y57" s="166">
        <f t="shared" si="1"/>
        <v>0</v>
      </c>
      <c r="AA57" s="460" t="b">
        <f t="shared" si="4"/>
        <v>0</v>
      </c>
      <c r="AB57" s="257" t="b">
        <f t="shared" si="5"/>
        <v>0</v>
      </c>
      <c r="AC57" s="459">
        <f t="shared" si="6"/>
        <v>0</v>
      </c>
      <c r="AD57" s="460" t="b">
        <f t="shared" si="7"/>
        <v>0</v>
      </c>
      <c r="AE57" s="257" t="b">
        <f t="shared" si="7"/>
        <v>0</v>
      </c>
      <c r="AF57" s="257" t="b">
        <f t="shared" si="7"/>
        <v>0</v>
      </c>
      <c r="AG57" s="459">
        <f t="shared" si="9"/>
        <v>0</v>
      </c>
      <c r="AH57" s="460" t="b">
        <f t="shared" si="10"/>
        <v>0</v>
      </c>
      <c r="AI57" s="257" t="b">
        <f t="shared" si="10"/>
        <v>0</v>
      </c>
      <c r="AJ57" s="257" t="b">
        <f t="shared" si="10"/>
        <v>0</v>
      </c>
      <c r="AK57" s="257" t="b">
        <f t="shared" si="10"/>
        <v>0</v>
      </c>
      <c r="AL57" s="459">
        <f t="shared" si="11"/>
        <v>0</v>
      </c>
    </row>
    <row r="58" spans="1:38" x14ac:dyDescent="0.2">
      <c r="A58" s="494"/>
      <c r="B58" s="686"/>
      <c r="C58" s="687"/>
      <c r="D58" s="687"/>
      <c r="E58" s="686"/>
      <c r="F58" s="687"/>
      <c r="G58" s="687"/>
      <c r="H58" s="686"/>
      <c r="I58" s="687"/>
      <c r="J58" s="687"/>
      <c r="K58" s="687"/>
      <c r="L58" s="495"/>
      <c r="M58" s="164" t="str">
        <f t="shared" ca="1" si="0"/>
        <v/>
      </c>
      <c r="N58" s="161"/>
      <c r="O58" s="163" t="str">
        <f t="shared" ca="1" si="2"/>
        <v xml:space="preserve"> </v>
      </c>
      <c r="P58" s="168"/>
      <c r="Q58" s="629"/>
      <c r="R58" s="629"/>
      <c r="S58" s="629"/>
      <c r="T58" s="629"/>
      <c r="U58" s="178"/>
      <c r="V58" s="178">
        <f t="shared" ca="1" si="3"/>
        <v>0</v>
      </c>
      <c r="W58" s="178"/>
      <c r="X58" s="178">
        <f t="shared" si="12"/>
        <v>0</v>
      </c>
      <c r="Y58" s="166">
        <f t="shared" si="1"/>
        <v>0</v>
      </c>
      <c r="AA58" s="460" t="b">
        <f t="shared" si="4"/>
        <v>0</v>
      </c>
      <c r="AB58" s="257" t="b">
        <f t="shared" si="5"/>
        <v>0</v>
      </c>
      <c r="AC58" s="459">
        <f t="shared" si="6"/>
        <v>0</v>
      </c>
      <c r="AD58" s="460" t="b">
        <f t="shared" si="7"/>
        <v>0</v>
      </c>
      <c r="AE58" s="257" t="b">
        <f t="shared" si="7"/>
        <v>0</v>
      </c>
      <c r="AF58" s="257" t="b">
        <f t="shared" si="7"/>
        <v>0</v>
      </c>
      <c r="AG58" s="459">
        <f t="shared" si="9"/>
        <v>0</v>
      </c>
      <c r="AH58" s="460" t="b">
        <f t="shared" si="10"/>
        <v>0</v>
      </c>
      <c r="AI58" s="257" t="b">
        <f t="shared" si="10"/>
        <v>0</v>
      </c>
      <c r="AJ58" s="257" t="b">
        <f t="shared" si="10"/>
        <v>0</v>
      </c>
      <c r="AK58" s="257" t="b">
        <f t="shared" si="10"/>
        <v>0</v>
      </c>
      <c r="AL58" s="459">
        <f t="shared" si="11"/>
        <v>0</v>
      </c>
    </row>
    <row r="59" spans="1:38" x14ac:dyDescent="0.2">
      <c r="A59" s="494"/>
      <c r="B59" s="686"/>
      <c r="C59" s="687"/>
      <c r="D59" s="687"/>
      <c r="E59" s="686"/>
      <c r="F59" s="687"/>
      <c r="G59" s="687"/>
      <c r="H59" s="686"/>
      <c r="I59" s="687"/>
      <c r="J59" s="687"/>
      <c r="K59" s="687"/>
      <c r="L59" s="495"/>
      <c r="M59" s="164" t="str">
        <f t="shared" ca="1" si="0"/>
        <v/>
      </c>
      <c r="N59" s="161"/>
      <c r="O59" s="163" t="str">
        <f t="shared" ca="1" si="2"/>
        <v xml:space="preserve"> </v>
      </c>
      <c r="P59" s="168"/>
      <c r="Q59" s="629"/>
      <c r="R59" s="629"/>
      <c r="S59" s="629"/>
      <c r="T59" s="629"/>
      <c r="U59" s="178"/>
      <c r="V59" s="178">
        <f t="shared" ca="1" si="3"/>
        <v>0</v>
      </c>
      <c r="W59" s="178"/>
      <c r="X59" s="178">
        <f t="shared" si="12"/>
        <v>0</v>
      </c>
      <c r="Y59" s="166">
        <f t="shared" si="1"/>
        <v>0</v>
      </c>
      <c r="AA59" s="460" t="b">
        <f t="shared" si="4"/>
        <v>0</v>
      </c>
      <c r="AB59" s="257" t="b">
        <f t="shared" si="5"/>
        <v>0</v>
      </c>
      <c r="AC59" s="459">
        <f t="shared" si="6"/>
        <v>0</v>
      </c>
      <c r="AD59" s="460" t="b">
        <f t="shared" si="7"/>
        <v>0</v>
      </c>
      <c r="AE59" s="257" t="b">
        <f t="shared" si="7"/>
        <v>0</v>
      </c>
      <c r="AF59" s="257" t="b">
        <f t="shared" si="7"/>
        <v>0</v>
      </c>
      <c r="AG59" s="459">
        <f t="shared" si="9"/>
        <v>0</v>
      </c>
      <c r="AH59" s="460" t="b">
        <f t="shared" si="10"/>
        <v>0</v>
      </c>
      <c r="AI59" s="257" t="b">
        <f t="shared" si="10"/>
        <v>0</v>
      </c>
      <c r="AJ59" s="257" t="b">
        <f t="shared" si="10"/>
        <v>0</v>
      </c>
      <c r="AK59" s="257" t="b">
        <f t="shared" si="10"/>
        <v>0</v>
      </c>
      <c r="AL59" s="459">
        <f t="shared" si="11"/>
        <v>0</v>
      </c>
    </row>
    <row r="60" spans="1:38" ht="13.5" thickBot="1" x14ac:dyDescent="0.25">
      <c r="K60" s="5" t="s">
        <v>37</v>
      </c>
      <c r="L60" s="51" t="str">
        <f>IF(L63&gt;3,SUM(L17:L59)-V60,"Please fill in")</f>
        <v>Please fill in</v>
      </c>
      <c r="M60" s="72"/>
      <c r="N60" s="72">
        <f>COUNTIF(N17:N59,"x")</f>
        <v>0</v>
      </c>
      <c r="U60" s="179">
        <f>SUM(U17:U59)+X60</f>
        <v>0</v>
      </c>
      <c r="V60" s="163">
        <f ca="1">SUM(V17:V59)</f>
        <v>0</v>
      </c>
      <c r="W60" s="163">
        <f>COUNTA(W17:W59)</f>
        <v>0</v>
      </c>
      <c r="X60" s="179">
        <f>SUM(X17:X59)</f>
        <v>0</v>
      </c>
      <c r="Y60" s="206">
        <f>SUM(Y17:Y59)</f>
        <v>0</v>
      </c>
      <c r="AD60" s="476">
        <f>COUNTIF(AD17:AD59,"true")</f>
        <v>0</v>
      </c>
      <c r="AE60" s="476">
        <f t="shared" ref="AE60:AF60" si="89">COUNTIF(AE17:AE59,"true")</f>
        <v>0</v>
      </c>
      <c r="AF60" s="476">
        <f t="shared" si="89"/>
        <v>0</v>
      </c>
      <c r="AL60" s="472">
        <f>SUM(AL17:AL59)</f>
        <v>0</v>
      </c>
    </row>
    <row r="61" spans="1:38" ht="15" customHeight="1" thickTop="1" x14ac:dyDescent="0.2">
      <c r="A61" s="675" t="str">
        <f>IF(L62&gt;0,"DON’T FORGET TO ATTACH YOUR RECEIPT DOCUMENTATION TO THE EMAIL","")</f>
        <v/>
      </c>
      <c r="B61" s="675"/>
      <c r="C61" s="675"/>
      <c r="D61" s="675"/>
      <c r="E61" s="675" t="str">
        <f>IF(AND(AD70&gt;0,AE70&gt;0,AF70&gt;0),AD74,IF(AND(AD70&gt;0,AF70&gt;0),AD73,IF(AND(AD70&gt;0,AE70&gt;0),AD75,IF(AND(AE70&gt;0,AF70&gt;0),AD76,IF(AD70&gt;0,AD71,IF(AF70&gt;0,AF71,IF(AE70&gt;0,AE71,"")))))))</f>
        <v/>
      </c>
      <c r="F61" s="675"/>
      <c r="G61" s="675"/>
      <c r="H61" s="675"/>
      <c r="K61" s="5" t="s">
        <v>50</v>
      </c>
      <c r="L61" s="158" t="str">
        <f>IF(L63&gt;3,'Meals-Students'!D47,"the yellow spaces on")</f>
        <v>the yellow spaces on</v>
      </c>
      <c r="M61" s="54"/>
      <c r="N61" s="54"/>
      <c r="AD61" s="476" t="s">
        <v>1670</v>
      </c>
      <c r="AE61" s="476" t="s">
        <v>1671</v>
      </c>
      <c r="AF61" s="476" t="s">
        <v>1668</v>
      </c>
    </row>
    <row r="62" spans="1:38" ht="15" customHeight="1" x14ac:dyDescent="0.2">
      <c r="A62" s="675"/>
      <c r="B62" s="675"/>
      <c r="C62" s="675"/>
      <c r="D62" s="675"/>
      <c r="E62" s="675"/>
      <c r="F62" s="675"/>
      <c r="G62" s="675"/>
      <c r="H62" s="675"/>
      <c r="K62" s="396" t="s">
        <v>1652</v>
      </c>
      <c r="L62" s="90">
        <f>IF(FundCode&lt;&gt;500,COUNT(L14:L57),IF(L63&gt;3,SUM(O16:O59),0))</f>
        <v>0</v>
      </c>
      <c r="M62" s="54"/>
      <c r="N62" s="54"/>
    </row>
    <row r="63" spans="1:38" ht="15" customHeight="1" x14ac:dyDescent="0.2">
      <c r="A63" s="675"/>
      <c r="B63" s="675"/>
      <c r="C63" s="675"/>
      <c r="D63" s="675"/>
      <c r="E63" s="675"/>
      <c r="F63" s="675"/>
      <c r="G63" s="675"/>
      <c r="H63" s="675"/>
      <c r="L63" s="156">
        <f>Summary!O12</f>
        <v>1</v>
      </c>
      <c r="AD63" t="str">
        <f>AD61&amp;", "&amp;AF61</f>
        <v>Please Explain Ministry Purpose., Please indicate how the study impacts ministry.</v>
      </c>
    </row>
    <row r="64" spans="1:38" ht="15" customHeight="1" x14ac:dyDescent="0.2">
      <c r="A64" s="675"/>
      <c r="B64" s="675"/>
      <c r="C64" s="675"/>
      <c r="D64" s="675"/>
      <c r="E64" s="675"/>
      <c r="F64" s="675"/>
      <c r="G64" s="675"/>
      <c r="H64" s="675"/>
      <c r="K64" s="11" t="s">
        <v>26</v>
      </c>
      <c r="L64" s="252" t="str">
        <f>IF(L63&gt;3,L60+L61+U60,"summary page")</f>
        <v>summary page</v>
      </c>
      <c r="M64" s="62"/>
      <c r="N64" s="62"/>
      <c r="AD64" t="str">
        <f>AD61&amp;", "&amp;AE61&amp;", "&amp;AF61</f>
        <v>Please Explain Ministry Purpose., Please provide donor name., Please indicate how the study impacts ministry.</v>
      </c>
    </row>
    <row r="65" spans="30:30" x14ac:dyDescent="0.2">
      <c r="AD65" t="str">
        <f>AD61&amp;" "&amp;AE61</f>
        <v>Please Explain Ministry Purpose. Please provide donor name.</v>
      </c>
    </row>
    <row r="66" spans="30:30" x14ac:dyDescent="0.2">
      <c r="AD66" t="str">
        <f>AE61&amp;", "&amp;AF61</f>
        <v>Please provide donor name., Please indicate how the study impacts ministry.</v>
      </c>
    </row>
  </sheetData>
  <sheetProtection algorithmName="SHA-512" hashValue="wKdolDahj+Zn2AtuZZzJmuQOgxGcWZjBYZKbnLF9qJPxJGX5K1wdp4ajASNntnCRSDMf868LH4M5tlV3BTcjCg==" saltValue="riwWa48tvPDl7NuUOB6BGg==" spinCount="100000" sheet="1" objects="1" scenarios="1"/>
  <mergeCells count="206">
    <mergeCell ref="B30:D30"/>
    <mergeCell ref="E30:G30"/>
    <mergeCell ref="H30:K30"/>
    <mergeCell ref="Q30:T30"/>
    <mergeCell ref="B29:D29"/>
    <mergeCell ref="E29:G29"/>
    <mergeCell ref="H29:K29"/>
    <mergeCell ref="Q29:T29"/>
    <mergeCell ref="B28:D28"/>
    <mergeCell ref="E28:G28"/>
    <mergeCell ref="H28:K28"/>
    <mergeCell ref="Q28:T28"/>
    <mergeCell ref="B33:D33"/>
    <mergeCell ref="E33:G33"/>
    <mergeCell ref="H33:K33"/>
    <mergeCell ref="Q33:T33"/>
    <mergeCell ref="B32:D32"/>
    <mergeCell ref="E32:G32"/>
    <mergeCell ref="H32:K32"/>
    <mergeCell ref="Q32:T32"/>
    <mergeCell ref="B31:D31"/>
    <mergeCell ref="E31:G31"/>
    <mergeCell ref="H31:K31"/>
    <mergeCell ref="Q31:T31"/>
    <mergeCell ref="B36:D36"/>
    <mergeCell ref="E36:G36"/>
    <mergeCell ref="H36:K36"/>
    <mergeCell ref="Q36:T36"/>
    <mergeCell ref="B35:D35"/>
    <mergeCell ref="E35:G35"/>
    <mergeCell ref="H35:K35"/>
    <mergeCell ref="Q35:T35"/>
    <mergeCell ref="B34:D34"/>
    <mergeCell ref="E34:G34"/>
    <mergeCell ref="H34:K34"/>
    <mergeCell ref="Q34:T34"/>
    <mergeCell ref="B39:D39"/>
    <mergeCell ref="E39:G39"/>
    <mergeCell ref="H39:K39"/>
    <mergeCell ref="Q39:T39"/>
    <mergeCell ref="B38:D38"/>
    <mergeCell ref="E38:G38"/>
    <mergeCell ref="H38:K38"/>
    <mergeCell ref="Q38:T38"/>
    <mergeCell ref="B37:D37"/>
    <mergeCell ref="E37:G37"/>
    <mergeCell ref="H37:K37"/>
    <mergeCell ref="Q37:T37"/>
    <mergeCell ref="B42:D42"/>
    <mergeCell ref="E42:G42"/>
    <mergeCell ref="H42:K42"/>
    <mergeCell ref="Q42:T42"/>
    <mergeCell ref="B41:D41"/>
    <mergeCell ref="E41:G41"/>
    <mergeCell ref="H41:K41"/>
    <mergeCell ref="Q41:T41"/>
    <mergeCell ref="B40:D40"/>
    <mergeCell ref="E40:G40"/>
    <mergeCell ref="H40:K40"/>
    <mergeCell ref="Q40:T40"/>
    <mergeCell ref="E45:G45"/>
    <mergeCell ref="H45:K45"/>
    <mergeCell ref="B43:D43"/>
    <mergeCell ref="E43:G43"/>
    <mergeCell ref="H43:K43"/>
    <mergeCell ref="E44:G44"/>
    <mergeCell ref="H44:K44"/>
    <mergeCell ref="B45:D45"/>
    <mergeCell ref="B52:D52"/>
    <mergeCell ref="E52:G52"/>
    <mergeCell ref="H52:K52"/>
    <mergeCell ref="B50:D50"/>
    <mergeCell ref="E50:G50"/>
    <mergeCell ref="E48:G48"/>
    <mergeCell ref="H50:K50"/>
    <mergeCell ref="E57:G57"/>
    <mergeCell ref="H57:K57"/>
    <mergeCell ref="B58:D58"/>
    <mergeCell ref="E58:G58"/>
    <mergeCell ref="H58:K58"/>
    <mergeCell ref="H51:K51"/>
    <mergeCell ref="B55:D55"/>
    <mergeCell ref="E55:G55"/>
    <mergeCell ref="H55:K55"/>
    <mergeCell ref="E53:G53"/>
    <mergeCell ref="H53:K53"/>
    <mergeCell ref="B54:D54"/>
    <mergeCell ref="E54:G54"/>
    <mergeCell ref="H54:K54"/>
    <mergeCell ref="B53:D53"/>
    <mergeCell ref="B27:D27"/>
    <mergeCell ref="E27:G27"/>
    <mergeCell ref="B26:D26"/>
    <mergeCell ref="E26:G26"/>
    <mergeCell ref="H27:K27"/>
    <mergeCell ref="H26:K26"/>
    <mergeCell ref="Q59:T59"/>
    <mergeCell ref="H48:K48"/>
    <mergeCell ref="B46:D46"/>
    <mergeCell ref="E46:G46"/>
    <mergeCell ref="E47:G47"/>
    <mergeCell ref="H47:K47"/>
    <mergeCell ref="B48:D48"/>
    <mergeCell ref="H46:K46"/>
    <mergeCell ref="B47:D47"/>
    <mergeCell ref="B59:D59"/>
    <mergeCell ref="E59:G59"/>
    <mergeCell ref="H59:K59"/>
    <mergeCell ref="E56:G56"/>
    <mergeCell ref="H56:K56"/>
    <mergeCell ref="B51:D51"/>
    <mergeCell ref="E51:G51"/>
    <mergeCell ref="B56:D56"/>
    <mergeCell ref="B57:D57"/>
    <mergeCell ref="B21:D21"/>
    <mergeCell ref="E21:G21"/>
    <mergeCell ref="Q26:T26"/>
    <mergeCell ref="Q21:T21"/>
    <mergeCell ref="B22:D22"/>
    <mergeCell ref="B23:D23"/>
    <mergeCell ref="B24:D24"/>
    <mergeCell ref="E22:G22"/>
    <mergeCell ref="E23:G23"/>
    <mergeCell ref="E24:G24"/>
    <mergeCell ref="H22:K22"/>
    <mergeCell ref="H23:K23"/>
    <mergeCell ref="H24:K24"/>
    <mergeCell ref="H19:K19"/>
    <mergeCell ref="Y14:Y15"/>
    <mergeCell ref="V14:V15"/>
    <mergeCell ref="Q55:T55"/>
    <mergeCell ref="Q56:T56"/>
    <mergeCell ref="Q57:T57"/>
    <mergeCell ref="B15:D15"/>
    <mergeCell ref="H21:K21"/>
    <mergeCell ref="B18:D18"/>
    <mergeCell ref="E18:G18"/>
    <mergeCell ref="H18:K18"/>
    <mergeCell ref="B19:D19"/>
    <mergeCell ref="E19:G19"/>
    <mergeCell ref="B20:D20"/>
    <mergeCell ref="E20:G20"/>
    <mergeCell ref="H20:K20"/>
    <mergeCell ref="P14:T14"/>
    <mergeCell ref="B49:D49"/>
    <mergeCell ref="E49:G49"/>
    <mergeCell ref="H49:K49"/>
    <mergeCell ref="B44:D44"/>
    <mergeCell ref="E17:G17"/>
    <mergeCell ref="H17:K17"/>
    <mergeCell ref="Q43:T43"/>
    <mergeCell ref="Q58:T58"/>
    <mergeCell ref="Q51:T51"/>
    <mergeCell ref="Q52:T52"/>
    <mergeCell ref="Q53:T53"/>
    <mergeCell ref="W14:W15"/>
    <mergeCell ref="X14:X15"/>
    <mergeCell ref="Q20:T20"/>
    <mergeCell ref="Q44:T44"/>
    <mergeCell ref="Q45:T45"/>
    <mergeCell ref="Q46:T46"/>
    <mergeCell ref="Q47:T47"/>
    <mergeCell ref="U14:U15"/>
    <mergeCell ref="Q15:T15"/>
    <mergeCell ref="Q17:T17"/>
    <mergeCell ref="Q54:T54"/>
    <mergeCell ref="Q48:T48"/>
    <mergeCell ref="Q49:T49"/>
    <mergeCell ref="Q50:T50"/>
    <mergeCell ref="Q27:T27"/>
    <mergeCell ref="G7:I7"/>
    <mergeCell ref="G8:I8"/>
    <mergeCell ref="G9:I9"/>
    <mergeCell ref="G10:I10"/>
    <mergeCell ref="G11:I11"/>
    <mergeCell ref="G12:I12"/>
    <mergeCell ref="J7:L7"/>
    <mergeCell ref="J8:L8"/>
    <mergeCell ref="J9:L9"/>
    <mergeCell ref="J10:L10"/>
    <mergeCell ref="J11:L11"/>
    <mergeCell ref="J12:L12"/>
    <mergeCell ref="AA15:AB15"/>
    <mergeCell ref="A61:D64"/>
    <mergeCell ref="E61:H64"/>
    <mergeCell ref="A1:F1"/>
    <mergeCell ref="A2:F2"/>
    <mergeCell ref="A7:E7"/>
    <mergeCell ref="A8:E12"/>
    <mergeCell ref="B25:D25"/>
    <mergeCell ref="E25:G25"/>
    <mergeCell ref="H25:K25"/>
    <mergeCell ref="Q25:T25"/>
    <mergeCell ref="B17:D17"/>
    <mergeCell ref="Q18:T18"/>
    <mergeCell ref="Q19:T19"/>
    <mergeCell ref="Q22:T22"/>
    <mergeCell ref="Q23:T23"/>
    <mergeCell ref="Q24:T24"/>
    <mergeCell ref="B14:D14"/>
    <mergeCell ref="E15:G15"/>
    <mergeCell ref="H15:K15"/>
    <mergeCell ref="H14:K14"/>
    <mergeCell ref="B16:D16"/>
    <mergeCell ref="E16:G16"/>
    <mergeCell ref="H16:K16"/>
  </mergeCells>
  <phoneticPr fontId="0" type="noConversion"/>
  <conditionalFormatting sqref="L60">
    <cfRule type="expression" dxfId="188" priority="209">
      <formula>M60="disallow"</formula>
    </cfRule>
  </conditionalFormatting>
  <conditionalFormatting sqref="L60">
    <cfRule type="expression" priority="202">
      <formula>AND($M60="disallow",$W60="")</formula>
    </cfRule>
  </conditionalFormatting>
  <conditionalFormatting sqref="L60">
    <cfRule type="expression" dxfId="187" priority="192">
      <formula>AND($M60="disallow",$W60="")</formula>
    </cfRule>
  </conditionalFormatting>
  <conditionalFormatting sqref="L60:L62 L64">
    <cfRule type="expression" dxfId="186" priority="177">
      <formula>$L$63&lt;4</formula>
    </cfRule>
  </conditionalFormatting>
  <conditionalFormatting sqref="A17:L17">
    <cfRule type="expression" dxfId="185" priority="88">
      <formula>$M17="disallow"</formula>
    </cfRule>
    <cfRule type="expression" dxfId="184" priority="94">
      <formula>$AL17&gt;0</formula>
    </cfRule>
    <cfRule type="expression" dxfId="183" priority="95">
      <formula>$AG17&gt;0</formula>
    </cfRule>
    <cfRule type="expression" dxfId="182" priority="96">
      <formula>$AC17&gt;0</formula>
    </cfRule>
    <cfRule type="expression" dxfId="181" priority="97">
      <formula>AND($M17="disallow",$W17="")</formula>
    </cfRule>
  </conditionalFormatting>
  <conditionalFormatting sqref="H5:L5">
    <cfRule type="expression" dxfId="180" priority="89">
      <formula>$M$15&gt;0</formula>
    </cfRule>
  </conditionalFormatting>
  <conditionalFormatting sqref="H6:N6">
    <cfRule type="expression" dxfId="179" priority="82">
      <formula>$AL$60&gt;0</formula>
    </cfRule>
  </conditionalFormatting>
  <conditionalFormatting sqref="A18:L27 A43:L59">
    <cfRule type="expression" dxfId="178" priority="76">
      <formula>$M18="disallow"</formula>
    </cfRule>
    <cfRule type="expression" dxfId="177" priority="77">
      <formula>$AL18&gt;0</formula>
    </cfRule>
    <cfRule type="expression" dxfId="176" priority="78">
      <formula>$AG18&gt;0</formula>
    </cfRule>
    <cfRule type="expression" dxfId="175" priority="79">
      <formula>$AC18&gt;0</formula>
    </cfRule>
    <cfRule type="expression" dxfId="174" priority="80">
      <formula>AND($M18="disallow",$W18="")</formula>
    </cfRule>
  </conditionalFormatting>
  <conditionalFormatting sqref="A42:L42">
    <cfRule type="expression" dxfId="173" priority="71">
      <formula>$M42="disallow"</formula>
    </cfRule>
    <cfRule type="expression" dxfId="172" priority="72">
      <formula>$AL42&gt;0</formula>
    </cfRule>
    <cfRule type="expression" dxfId="171" priority="73">
      <formula>$AG42&gt;0</formula>
    </cfRule>
    <cfRule type="expression" dxfId="170" priority="74">
      <formula>$AC42&gt;0</formula>
    </cfRule>
    <cfRule type="expression" dxfId="169" priority="75">
      <formula>AND($M42="disallow",$W42="")</formula>
    </cfRule>
  </conditionalFormatting>
  <conditionalFormatting sqref="A41:L41">
    <cfRule type="expression" dxfId="168" priority="66">
      <formula>$M41="disallow"</formula>
    </cfRule>
    <cfRule type="expression" dxfId="167" priority="67">
      <formula>$AL41&gt;0</formula>
    </cfRule>
    <cfRule type="expression" dxfId="166" priority="68">
      <formula>$AG41&gt;0</formula>
    </cfRule>
    <cfRule type="expression" dxfId="165" priority="69">
      <formula>$AC41&gt;0</formula>
    </cfRule>
    <cfRule type="expression" dxfId="164" priority="70">
      <formula>AND($M41="disallow",$W41="")</formula>
    </cfRule>
  </conditionalFormatting>
  <conditionalFormatting sqref="A40:L40">
    <cfRule type="expression" dxfId="163" priority="61">
      <formula>$M40="disallow"</formula>
    </cfRule>
    <cfRule type="expression" dxfId="162" priority="62">
      <formula>$AL40&gt;0</formula>
    </cfRule>
    <cfRule type="expression" dxfId="161" priority="63">
      <formula>$AG40&gt;0</formula>
    </cfRule>
    <cfRule type="expression" dxfId="160" priority="64">
      <formula>$AC40&gt;0</formula>
    </cfRule>
    <cfRule type="expression" dxfId="159" priority="65">
      <formula>AND($M40="disallow",$W40="")</formula>
    </cfRule>
  </conditionalFormatting>
  <conditionalFormatting sqref="A39:L39">
    <cfRule type="expression" dxfId="158" priority="56">
      <formula>$M39="disallow"</formula>
    </cfRule>
    <cfRule type="expression" dxfId="157" priority="57">
      <formula>$AL39&gt;0</formula>
    </cfRule>
    <cfRule type="expression" dxfId="156" priority="58">
      <formula>$AG39&gt;0</formula>
    </cfRule>
    <cfRule type="expression" dxfId="155" priority="59">
      <formula>$AC39&gt;0</formula>
    </cfRule>
    <cfRule type="expression" dxfId="154" priority="60">
      <formula>AND($M39="disallow",$W39="")</formula>
    </cfRule>
  </conditionalFormatting>
  <conditionalFormatting sqref="A38:L38">
    <cfRule type="expression" dxfId="153" priority="51">
      <formula>$M38="disallow"</formula>
    </cfRule>
    <cfRule type="expression" dxfId="152" priority="52">
      <formula>$AL38&gt;0</formula>
    </cfRule>
    <cfRule type="expression" dxfId="151" priority="53">
      <formula>$AG38&gt;0</formula>
    </cfRule>
    <cfRule type="expression" dxfId="150" priority="54">
      <formula>$AC38&gt;0</formula>
    </cfRule>
    <cfRule type="expression" dxfId="149" priority="55">
      <formula>AND($M38="disallow",$W38="")</formula>
    </cfRule>
  </conditionalFormatting>
  <conditionalFormatting sqref="A37:L37">
    <cfRule type="expression" dxfId="148" priority="46">
      <formula>$M37="disallow"</formula>
    </cfRule>
    <cfRule type="expression" dxfId="147" priority="47">
      <formula>$AL37&gt;0</formula>
    </cfRule>
    <cfRule type="expression" dxfId="146" priority="48">
      <formula>$AG37&gt;0</formula>
    </cfRule>
    <cfRule type="expression" dxfId="145" priority="49">
      <formula>$AC37&gt;0</formula>
    </cfRule>
    <cfRule type="expression" dxfId="144" priority="50">
      <formula>AND($M37="disallow",$W37="")</formula>
    </cfRule>
  </conditionalFormatting>
  <conditionalFormatting sqref="A36:L36">
    <cfRule type="expression" dxfId="143" priority="41">
      <formula>$M36="disallow"</formula>
    </cfRule>
    <cfRule type="expression" dxfId="142" priority="42">
      <formula>$AL36&gt;0</formula>
    </cfRule>
    <cfRule type="expression" dxfId="141" priority="43">
      <formula>$AG36&gt;0</formula>
    </cfRule>
    <cfRule type="expression" dxfId="140" priority="44">
      <formula>$AC36&gt;0</formula>
    </cfRule>
    <cfRule type="expression" dxfId="139" priority="45">
      <formula>AND($M36="disallow",$W36="")</formula>
    </cfRule>
  </conditionalFormatting>
  <conditionalFormatting sqref="A35:L35">
    <cfRule type="expression" dxfId="138" priority="36">
      <formula>$M35="disallow"</formula>
    </cfRule>
    <cfRule type="expression" dxfId="137" priority="37">
      <formula>$AL35&gt;0</formula>
    </cfRule>
    <cfRule type="expression" dxfId="136" priority="38">
      <formula>$AG35&gt;0</formula>
    </cfRule>
    <cfRule type="expression" dxfId="135" priority="39">
      <formula>$AC35&gt;0</formula>
    </cfRule>
    <cfRule type="expression" dxfId="134" priority="40">
      <formula>AND($M35="disallow",$W35="")</formula>
    </cfRule>
  </conditionalFormatting>
  <conditionalFormatting sqref="A34:L34">
    <cfRule type="expression" dxfId="133" priority="31">
      <formula>$M34="disallow"</formula>
    </cfRule>
    <cfRule type="expression" dxfId="132" priority="32">
      <formula>$AL34&gt;0</formula>
    </cfRule>
    <cfRule type="expression" dxfId="131" priority="33">
      <formula>$AG34&gt;0</formula>
    </cfRule>
    <cfRule type="expression" dxfId="130" priority="34">
      <formula>$AC34&gt;0</formula>
    </cfRule>
    <cfRule type="expression" dxfId="129" priority="35">
      <formula>AND($M34="disallow",$W34="")</formula>
    </cfRule>
  </conditionalFormatting>
  <conditionalFormatting sqref="A33:L33">
    <cfRule type="expression" dxfId="128" priority="26">
      <formula>$M33="disallow"</formula>
    </cfRule>
    <cfRule type="expression" dxfId="127" priority="27">
      <formula>$AL33&gt;0</formula>
    </cfRule>
    <cfRule type="expression" dxfId="126" priority="28">
      <formula>$AG33&gt;0</formula>
    </cfRule>
    <cfRule type="expression" dxfId="125" priority="29">
      <formula>$AC33&gt;0</formula>
    </cfRule>
    <cfRule type="expression" dxfId="124" priority="30">
      <formula>AND($M33="disallow",$W33="")</formula>
    </cfRule>
  </conditionalFormatting>
  <conditionalFormatting sqref="A32:L32">
    <cfRule type="expression" dxfId="123" priority="21">
      <formula>$M32="disallow"</formula>
    </cfRule>
    <cfRule type="expression" dxfId="122" priority="22">
      <formula>$AL32&gt;0</formula>
    </cfRule>
    <cfRule type="expression" dxfId="121" priority="23">
      <formula>$AG32&gt;0</formula>
    </cfRule>
    <cfRule type="expression" dxfId="120" priority="24">
      <formula>$AC32&gt;0</formula>
    </cfRule>
    <cfRule type="expression" dxfId="119" priority="25">
      <formula>AND($M32="disallow",$W32="")</formula>
    </cfRule>
  </conditionalFormatting>
  <conditionalFormatting sqref="A31:L31">
    <cfRule type="expression" dxfId="118" priority="16">
      <formula>$M31="disallow"</formula>
    </cfRule>
    <cfRule type="expression" dxfId="117" priority="17">
      <formula>$AL31&gt;0</formula>
    </cfRule>
    <cfRule type="expression" dxfId="116" priority="18">
      <formula>$AG31&gt;0</formula>
    </cfRule>
    <cfRule type="expression" dxfId="115" priority="19">
      <formula>$AC31&gt;0</formula>
    </cfRule>
    <cfRule type="expression" dxfId="114" priority="20">
      <formula>AND($M31="disallow",$W31="")</formula>
    </cfRule>
  </conditionalFormatting>
  <conditionalFormatting sqref="A30:L30">
    <cfRule type="expression" dxfId="113" priority="11">
      <formula>$M30="disallow"</formula>
    </cfRule>
    <cfRule type="expression" dxfId="112" priority="12">
      <formula>$AL30&gt;0</formula>
    </cfRule>
    <cfRule type="expression" dxfId="111" priority="13">
      <formula>$AG30&gt;0</formula>
    </cfRule>
    <cfRule type="expression" dxfId="110" priority="14">
      <formula>$AC30&gt;0</formula>
    </cfRule>
    <cfRule type="expression" dxfId="109" priority="15">
      <formula>AND($M30="disallow",$W30="")</formula>
    </cfRule>
  </conditionalFormatting>
  <conditionalFormatting sqref="A29:L29">
    <cfRule type="expression" dxfId="108" priority="6">
      <formula>$M29="disallow"</formula>
    </cfRule>
    <cfRule type="expression" dxfId="107" priority="7">
      <formula>$AL29&gt;0</formula>
    </cfRule>
    <cfRule type="expression" dxfId="106" priority="8">
      <formula>$AG29&gt;0</formula>
    </cfRule>
    <cfRule type="expression" dxfId="105" priority="9">
      <formula>$AC29&gt;0</formula>
    </cfRule>
    <cfRule type="expression" dxfId="104" priority="10">
      <formula>AND($M29="disallow",$W29="")</formula>
    </cfRule>
  </conditionalFormatting>
  <conditionalFormatting sqref="A28:L28">
    <cfRule type="expression" dxfId="103" priority="1">
      <formula>$M28="disallow"</formula>
    </cfRule>
    <cfRule type="expression" dxfId="102" priority="2">
      <formula>$AL28&gt;0</formula>
    </cfRule>
    <cfRule type="expression" dxfId="101" priority="3">
      <formula>$AG28&gt;0</formula>
    </cfRule>
    <cfRule type="expression" dxfId="100" priority="4">
      <formula>$AC28&gt;0</formula>
    </cfRule>
    <cfRule type="expression" dxfId="99" priority="5">
      <formula>AND($M28="disallow",$W28="")</formula>
    </cfRule>
  </conditionalFormatting>
  <dataValidations count="1">
    <dataValidation type="date" operator="greaterThan" allowBlank="1" showInputMessage="1" showErrorMessage="1" promptTitle="date format" prompt="Please use format of mm/dd/yy" sqref="A17:A59" xr:uid="{00000000-0002-0000-0B00-000000000000}">
      <formula1>40909</formula1>
    </dataValidation>
  </dataValidations>
  <pageMargins left="0.25" right="0.25" top="0.25" bottom="0.25" header="0.25" footer="0"/>
  <pageSetup scale="72" orientation="landscape" r:id="rId1"/>
  <headerFooter alignWithMargins="0">
    <oddHeader xml:space="preserve">&amp;L&amp;"Arial,Bold"&amp;14Ministry Operations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C47"/>
  <sheetViews>
    <sheetView view="pageBreakPreview" zoomScale="75" zoomScaleNormal="100" zoomScaleSheetLayoutView="75" workbookViewId="0">
      <selection activeCell="A13" sqref="A13"/>
    </sheetView>
  </sheetViews>
  <sheetFormatPr defaultRowHeight="12.75" outlineLevelCol="1" x14ac:dyDescent="0.2"/>
  <cols>
    <col min="1" max="1" width="12.7109375" style="12" customWidth="1"/>
    <col min="2" max="4" width="12.7109375" customWidth="1"/>
    <col min="5" max="5" width="20.5703125" customWidth="1"/>
    <col min="6" max="6" width="29" customWidth="1"/>
    <col min="7" max="7" width="8.140625" customWidth="1"/>
    <col min="12" max="13" width="10.5703125" customWidth="1"/>
    <col min="26" max="28" width="0" hidden="1" customWidth="1" outlineLevel="1"/>
    <col min="29" max="29" width="9.140625" collapsed="1"/>
  </cols>
  <sheetData>
    <row r="1" spans="1:28" x14ac:dyDescent="0.2">
      <c r="A1" s="743" t="s">
        <v>128</v>
      </c>
      <c r="B1" s="700"/>
      <c r="C1" s="743"/>
      <c r="D1" s="700"/>
      <c r="F1" s="11" t="s">
        <v>708</v>
      </c>
    </row>
    <row r="2" spans="1:28" x14ac:dyDescent="0.2">
      <c r="A2" s="744" t="s">
        <v>115</v>
      </c>
      <c r="B2" s="702"/>
      <c r="C2" s="744"/>
      <c r="D2" s="702"/>
      <c r="F2" s="11" t="s">
        <v>681</v>
      </c>
    </row>
    <row r="3" spans="1:28" x14ac:dyDescent="0.2">
      <c r="A3" s="744" t="s">
        <v>133</v>
      </c>
      <c r="B3" s="702"/>
      <c r="C3" s="744"/>
      <c r="D3" s="702"/>
      <c r="F3" s="131" t="s">
        <v>682</v>
      </c>
    </row>
    <row r="4" spans="1:28" x14ac:dyDescent="0.2">
      <c r="A4" s="646"/>
      <c r="B4" s="648"/>
      <c r="C4" s="646"/>
      <c r="D4" s="648"/>
    </row>
    <row r="5" spans="1:28" x14ac:dyDescent="0.2">
      <c r="A5" s="646"/>
      <c r="B5" s="648"/>
      <c r="C5" s="646"/>
      <c r="D5" s="648"/>
      <c r="E5" s="5" t="s">
        <v>81</v>
      </c>
      <c r="F5" s="37" t="str">
        <f>Donor!K1</f>
        <v>Gordy Decker</v>
      </c>
    </row>
    <row r="6" spans="1:28" x14ac:dyDescent="0.2">
      <c r="A6" s="649"/>
      <c r="B6" s="651"/>
      <c r="C6" s="649"/>
      <c r="D6" s="651"/>
      <c r="E6" s="5"/>
      <c r="F6" s="37"/>
    </row>
    <row r="7" spans="1:28" x14ac:dyDescent="0.2">
      <c r="E7" s="5" t="s">
        <v>109</v>
      </c>
      <c r="F7" s="55">
        <f>Donor!K2</f>
        <v>0</v>
      </c>
    </row>
    <row r="9" spans="1:28" ht="15" x14ac:dyDescent="0.25">
      <c r="A9" s="208" t="s">
        <v>1009</v>
      </c>
    </row>
    <row r="10" spans="1:28" x14ac:dyDescent="0.2">
      <c r="I10" s="705" t="s">
        <v>184</v>
      </c>
      <c r="J10" s="706"/>
      <c r="K10" s="706"/>
      <c r="L10" s="706"/>
      <c r="M10" s="707"/>
    </row>
    <row r="11" spans="1:28" ht="27" customHeight="1" x14ac:dyDescent="0.25">
      <c r="A11" s="124" t="s">
        <v>28</v>
      </c>
      <c r="B11" s="708" t="s">
        <v>41</v>
      </c>
      <c r="C11" s="709"/>
      <c r="D11" s="710"/>
      <c r="E11" s="711" t="s">
        <v>29</v>
      </c>
      <c r="F11" s="713" t="s">
        <v>284</v>
      </c>
      <c r="I11" s="715" t="s">
        <v>179</v>
      </c>
      <c r="J11" s="715"/>
      <c r="K11" s="715"/>
      <c r="L11" s="715"/>
      <c r="Q11" s="723" t="s">
        <v>509</v>
      </c>
      <c r="R11" s="719"/>
      <c r="S11" s="719"/>
      <c r="T11" s="719"/>
      <c r="U11" s="665" t="s">
        <v>664</v>
      </c>
      <c r="V11" s="718" t="s">
        <v>665</v>
      </c>
      <c r="W11" s="719"/>
      <c r="X11" s="719"/>
    </row>
    <row r="12" spans="1:28" ht="15.95" customHeight="1" x14ac:dyDescent="0.2">
      <c r="A12" s="125" t="s">
        <v>104</v>
      </c>
      <c r="B12" s="13" t="s">
        <v>38</v>
      </c>
      <c r="C12" s="13" t="s">
        <v>39</v>
      </c>
      <c r="D12" s="13" t="s">
        <v>40</v>
      </c>
      <c r="E12" s="712"/>
      <c r="F12" s="714"/>
      <c r="H12" s="191" t="s">
        <v>510</v>
      </c>
      <c r="I12" s="191" t="s">
        <v>185</v>
      </c>
      <c r="J12" s="191" t="s">
        <v>180</v>
      </c>
      <c r="K12" s="191" t="s">
        <v>181</v>
      </c>
      <c r="L12" s="191" t="s">
        <v>290</v>
      </c>
      <c r="M12" s="190"/>
      <c r="N12" s="720" t="s">
        <v>289</v>
      </c>
      <c r="O12" s="721"/>
      <c r="P12" s="722"/>
      <c r="Q12" s="141" t="s">
        <v>286</v>
      </c>
      <c r="R12" s="191" t="s">
        <v>185</v>
      </c>
      <c r="S12" s="191" t="s">
        <v>180</v>
      </c>
      <c r="T12" s="191" t="s">
        <v>181</v>
      </c>
      <c r="U12" s="666"/>
      <c r="V12" s="191" t="s">
        <v>185</v>
      </c>
      <c r="W12" s="191" t="s">
        <v>180</v>
      </c>
      <c r="X12" s="191" t="s">
        <v>181</v>
      </c>
      <c r="Z12" s="473" t="s">
        <v>1662</v>
      </c>
      <c r="AA12" s="474" t="s">
        <v>1664</v>
      </c>
      <c r="AB12" s="458"/>
    </row>
    <row r="13" spans="1:28" ht="15.95" customHeight="1" x14ac:dyDescent="0.2">
      <c r="A13" s="276"/>
      <c r="B13" s="302"/>
      <c r="C13" s="302"/>
      <c r="D13" s="302"/>
      <c r="E13" s="498"/>
      <c r="F13" s="498"/>
      <c r="G13" s="54" t="str">
        <f t="shared" ref="G13:G43" ca="1" si="0">IF(A13&gt;0,IF(submit_date&gt;0,IF(submit_date-A13&gt;60,"disallow"," "),IF(TODAY()-A13&gt;60,"disallow"," ")),"")</f>
        <v/>
      </c>
      <c r="H13" s="141"/>
      <c r="I13" s="141"/>
      <c r="J13" s="141"/>
      <c r="K13" s="141"/>
      <c r="L13" s="704" t="s">
        <v>160</v>
      </c>
      <c r="M13" s="704"/>
      <c r="N13" s="141">
        <f ca="1">IF(AND($G13="disallow",Q$13=0),B13,0)</f>
        <v>0</v>
      </c>
      <c r="O13" s="141">
        <f ca="1">IF(AND($G13="disallow",Q$13=0),C13,0)</f>
        <v>0</v>
      </c>
      <c r="P13" s="141">
        <f ca="1">IF(AND($G13="disallow",Q$13=0),D13,0)</f>
        <v>0</v>
      </c>
      <c r="Q13" s="141"/>
      <c r="R13" s="141">
        <f>IF($Q13&gt;0,I13,0)</f>
        <v>0</v>
      </c>
      <c r="S13" s="141">
        <f>IF($Q13&gt;0,J13,0)</f>
        <v>0</v>
      </c>
      <c r="T13" s="141">
        <f>IF($Q13&gt;0,K13,0)</f>
        <v>0</v>
      </c>
      <c r="U13" s="166">
        <f t="shared" ref="U13:U43" si="1">IF(AND(A13&lt;Fiscal_Start_Date,submit_date-A13&lt;90,submit_date&gt;=Fiscal_Start_Date),B13*$B$45+C13*$C$45+D13*$D$45,0)</f>
        <v>0</v>
      </c>
      <c r="V13" s="141">
        <f>IF($B13&gt;7,$B13-7,0)</f>
        <v>0</v>
      </c>
      <c r="W13" s="141">
        <f>IF($C13&gt;7,$C13-7,0)</f>
        <v>0</v>
      </c>
      <c r="X13" s="141">
        <f>IF($D13&gt;7,$D13-7,0)</f>
        <v>0</v>
      </c>
      <c r="Z13" s="460" t="b">
        <f>SUMPRODUCT(--ISNUMBER(SEARCH(Z$12,$E13:$F13)))&gt;0</f>
        <v>0</v>
      </c>
      <c r="AA13" s="257" t="b">
        <f>SUMPRODUCT(--ISNUMBER(SEARCH(AA$12,$E14:$F14)))&gt;0</f>
        <v>0</v>
      </c>
      <c r="AB13" s="459">
        <f>COUNTIF(Z13:AA13,"True")</f>
        <v>0</v>
      </c>
    </row>
    <row r="14" spans="1:28" ht="15.95" customHeight="1" x14ac:dyDescent="0.2">
      <c r="A14" s="276"/>
      <c r="B14" s="302"/>
      <c r="C14" s="302"/>
      <c r="D14" s="302"/>
      <c r="E14" s="498"/>
      <c r="F14" s="498"/>
      <c r="G14" s="54" t="str">
        <f t="shared" ca="1" si="0"/>
        <v/>
      </c>
      <c r="H14" s="141"/>
      <c r="I14" s="141"/>
      <c r="J14" s="141"/>
      <c r="K14" s="141"/>
      <c r="L14" s="704" t="s">
        <v>160</v>
      </c>
      <c r="M14" s="704"/>
      <c r="N14" s="141">
        <f t="shared" ref="N14:N43" ca="1" si="2">IF(AND($G14="disallow",Q$13=0),B14,0)</f>
        <v>0</v>
      </c>
      <c r="O14" s="141">
        <f t="shared" ref="O14:O43" ca="1" si="3">IF(AND($G14="disallow",Q$13=0),C14,0)</f>
        <v>0</v>
      </c>
      <c r="P14" s="141">
        <f t="shared" ref="P14:P43" ca="1" si="4">IF(AND($G14="disallow",Q$13=0),D14,0)</f>
        <v>0</v>
      </c>
      <c r="Q14" s="141"/>
      <c r="R14" s="141">
        <f t="shared" ref="R14:T43" si="5">IF($Q14&gt;0,I14,0)</f>
        <v>0</v>
      </c>
      <c r="S14" s="141">
        <f t="shared" si="5"/>
        <v>0</v>
      </c>
      <c r="T14" s="141">
        <f t="shared" si="5"/>
        <v>0</v>
      </c>
      <c r="U14" s="166">
        <f t="shared" si="1"/>
        <v>0</v>
      </c>
      <c r="V14" s="141">
        <f t="shared" ref="V14:V43" si="6">IF($B14&gt;7,$B14-7,0)</f>
        <v>0</v>
      </c>
      <c r="W14" s="141">
        <f t="shared" ref="W14:W43" si="7">IF($C14&gt;7,$C14-7,0)</f>
        <v>0</v>
      </c>
      <c r="X14" s="141">
        <f t="shared" ref="X14:X43" si="8">IF($D14&gt;7,$D14-7,0)</f>
        <v>0</v>
      </c>
      <c r="Z14" s="460" t="b">
        <f t="shared" ref="Z14:Z42" si="9">SUMPRODUCT(--ISNUMBER(SEARCH(Z$12,$E14:$F14)))&gt;0</f>
        <v>0</v>
      </c>
      <c r="AA14" s="257" t="b">
        <f t="shared" ref="AA14:AA42" si="10">SUMPRODUCT(--ISNUMBER(SEARCH(AA$12,$E15:$F15)))&gt;0</f>
        <v>0</v>
      </c>
      <c r="AB14" s="459">
        <f t="shared" ref="AB14:AB42" si="11">COUNTIF(Z14:AA14,"True")</f>
        <v>0</v>
      </c>
    </row>
    <row r="15" spans="1:28" ht="15.95" customHeight="1" x14ac:dyDescent="0.2">
      <c r="A15" s="276"/>
      <c r="B15" s="302"/>
      <c r="C15" s="302"/>
      <c r="D15" s="302"/>
      <c r="E15" s="498"/>
      <c r="F15" s="498"/>
      <c r="G15" s="54" t="str">
        <f t="shared" ca="1" si="0"/>
        <v/>
      </c>
      <c r="H15" s="141"/>
      <c r="I15" s="141"/>
      <c r="J15" s="141"/>
      <c r="K15" s="141"/>
      <c r="L15" s="704" t="s">
        <v>160</v>
      </c>
      <c r="M15" s="704"/>
      <c r="N15" s="141">
        <f t="shared" ca="1" si="2"/>
        <v>0</v>
      </c>
      <c r="O15" s="141">
        <f t="shared" ca="1" si="3"/>
        <v>0</v>
      </c>
      <c r="P15" s="141">
        <f t="shared" ca="1" si="4"/>
        <v>0</v>
      </c>
      <c r="Q15" s="141"/>
      <c r="R15" s="141">
        <f t="shared" si="5"/>
        <v>0</v>
      </c>
      <c r="S15" s="141">
        <f t="shared" si="5"/>
        <v>0</v>
      </c>
      <c r="T15" s="141">
        <f t="shared" si="5"/>
        <v>0</v>
      </c>
      <c r="U15" s="166">
        <f t="shared" si="1"/>
        <v>0</v>
      </c>
      <c r="V15" s="141">
        <f t="shared" si="6"/>
        <v>0</v>
      </c>
      <c r="W15" s="141">
        <f t="shared" si="7"/>
        <v>0</v>
      </c>
      <c r="X15" s="141">
        <f t="shared" si="8"/>
        <v>0</v>
      </c>
      <c r="Z15" s="460" t="b">
        <f t="shared" si="9"/>
        <v>0</v>
      </c>
      <c r="AA15" s="257" t="b">
        <f t="shared" si="10"/>
        <v>0</v>
      </c>
      <c r="AB15" s="459">
        <f t="shared" si="11"/>
        <v>0</v>
      </c>
    </row>
    <row r="16" spans="1:28" ht="15.95" customHeight="1" x14ac:dyDescent="0.2">
      <c r="A16" s="276"/>
      <c r="B16" s="302"/>
      <c r="C16" s="302"/>
      <c r="D16" s="302"/>
      <c r="E16" s="498"/>
      <c r="F16" s="498"/>
      <c r="G16" s="54" t="str">
        <f t="shared" ca="1" si="0"/>
        <v/>
      </c>
      <c r="H16" s="141"/>
      <c r="I16" s="141"/>
      <c r="J16" s="141"/>
      <c r="K16" s="141"/>
      <c r="L16" s="704" t="s">
        <v>160</v>
      </c>
      <c r="M16" s="704"/>
      <c r="N16" s="141">
        <f t="shared" ca="1" si="2"/>
        <v>0</v>
      </c>
      <c r="O16" s="141">
        <f t="shared" ca="1" si="3"/>
        <v>0</v>
      </c>
      <c r="P16" s="141">
        <f t="shared" ca="1" si="4"/>
        <v>0</v>
      </c>
      <c r="Q16" s="141"/>
      <c r="R16" s="141">
        <f t="shared" si="5"/>
        <v>0</v>
      </c>
      <c r="S16" s="141">
        <f t="shared" si="5"/>
        <v>0</v>
      </c>
      <c r="T16" s="141">
        <f t="shared" si="5"/>
        <v>0</v>
      </c>
      <c r="U16" s="166">
        <f t="shared" si="1"/>
        <v>0</v>
      </c>
      <c r="V16" s="141">
        <f t="shared" si="6"/>
        <v>0</v>
      </c>
      <c r="W16" s="141">
        <f t="shared" si="7"/>
        <v>0</v>
      </c>
      <c r="X16" s="141">
        <f t="shared" si="8"/>
        <v>0</v>
      </c>
      <c r="Z16" s="460" t="b">
        <f t="shared" si="9"/>
        <v>0</v>
      </c>
      <c r="AA16" s="257" t="b">
        <f t="shared" si="10"/>
        <v>0</v>
      </c>
      <c r="AB16" s="459">
        <f t="shared" si="11"/>
        <v>0</v>
      </c>
    </row>
    <row r="17" spans="1:28" ht="15.95" customHeight="1" x14ac:dyDescent="0.2">
      <c r="A17" s="276"/>
      <c r="B17" s="302"/>
      <c r="C17" s="302"/>
      <c r="D17" s="302"/>
      <c r="E17" s="498"/>
      <c r="F17" s="498"/>
      <c r="G17" s="54" t="str">
        <f t="shared" ca="1" si="0"/>
        <v/>
      </c>
      <c r="H17" s="141"/>
      <c r="I17" s="141"/>
      <c r="J17" s="141"/>
      <c r="K17" s="141"/>
      <c r="L17" s="704" t="s">
        <v>160</v>
      </c>
      <c r="M17" s="704"/>
      <c r="N17" s="141">
        <f t="shared" ca="1" si="2"/>
        <v>0</v>
      </c>
      <c r="O17" s="141">
        <f t="shared" ca="1" si="3"/>
        <v>0</v>
      </c>
      <c r="P17" s="141">
        <f t="shared" ca="1" si="4"/>
        <v>0</v>
      </c>
      <c r="Q17" s="141"/>
      <c r="R17" s="141">
        <f t="shared" si="5"/>
        <v>0</v>
      </c>
      <c r="S17" s="141">
        <f t="shared" si="5"/>
        <v>0</v>
      </c>
      <c r="T17" s="141">
        <f t="shared" si="5"/>
        <v>0</v>
      </c>
      <c r="U17" s="166">
        <f t="shared" si="1"/>
        <v>0</v>
      </c>
      <c r="V17" s="141">
        <f t="shared" si="6"/>
        <v>0</v>
      </c>
      <c r="W17" s="141">
        <f t="shared" si="7"/>
        <v>0</v>
      </c>
      <c r="X17" s="141">
        <f t="shared" si="8"/>
        <v>0</v>
      </c>
      <c r="Z17" s="460" t="b">
        <f t="shared" si="9"/>
        <v>0</v>
      </c>
      <c r="AA17" s="257" t="b">
        <f t="shared" si="10"/>
        <v>0</v>
      </c>
      <c r="AB17" s="459">
        <f t="shared" si="11"/>
        <v>0</v>
      </c>
    </row>
    <row r="18" spans="1:28" ht="15.95" customHeight="1" x14ac:dyDescent="0.2">
      <c r="A18" s="276"/>
      <c r="B18" s="302"/>
      <c r="C18" s="302"/>
      <c r="D18" s="302"/>
      <c r="E18" s="498"/>
      <c r="F18" s="498"/>
      <c r="G18" s="54" t="str">
        <f t="shared" ca="1" si="0"/>
        <v/>
      </c>
      <c r="H18" s="141"/>
      <c r="I18" s="141"/>
      <c r="J18" s="141"/>
      <c r="K18" s="141"/>
      <c r="L18" s="704" t="s">
        <v>160</v>
      </c>
      <c r="M18" s="704"/>
      <c r="N18" s="141">
        <f t="shared" ca="1" si="2"/>
        <v>0</v>
      </c>
      <c r="O18" s="141">
        <f t="shared" ca="1" si="3"/>
        <v>0</v>
      </c>
      <c r="P18" s="141">
        <f t="shared" ca="1" si="4"/>
        <v>0</v>
      </c>
      <c r="Q18" s="141"/>
      <c r="R18" s="141">
        <f t="shared" si="5"/>
        <v>0</v>
      </c>
      <c r="S18" s="141">
        <f t="shared" si="5"/>
        <v>0</v>
      </c>
      <c r="T18" s="141">
        <f t="shared" si="5"/>
        <v>0</v>
      </c>
      <c r="U18" s="166">
        <f t="shared" si="1"/>
        <v>0</v>
      </c>
      <c r="V18" s="141">
        <f t="shared" si="6"/>
        <v>0</v>
      </c>
      <c r="W18" s="141">
        <f t="shared" si="7"/>
        <v>0</v>
      </c>
      <c r="X18" s="141">
        <f t="shared" si="8"/>
        <v>0</v>
      </c>
      <c r="Z18" s="460" t="b">
        <f t="shared" si="9"/>
        <v>0</v>
      </c>
      <c r="AA18" s="257" t="b">
        <f t="shared" si="10"/>
        <v>0</v>
      </c>
      <c r="AB18" s="459">
        <f t="shared" si="11"/>
        <v>0</v>
      </c>
    </row>
    <row r="19" spans="1:28" ht="15.95" customHeight="1" x14ac:dyDescent="0.2">
      <c r="A19" s="276"/>
      <c r="B19" s="302"/>
      <c r="C19" s="302"/>
      <c r="D19" s="302"/>
      <c r="E19" s="498"/>
      <c r="F19" s="498"/>
      <c r="G19" s="54" t="str">
        <f t="shared" ca="1" si="0"/>
        <v/>
      </c>
      <c r="H19" s="141"/>
      <c r="I19" s="141"/>
      <c r="J19" s="141"/>
      <c r="K19" s="141"/>
      <c r="L19" s="704" t="s">
        <v>160</v>
      </c>
      <c r="M19" s="704"/>
      <c r="N19" s="141">
        <f t="shared" ca="1" si="2"/>
        <v>0</v>
      </c>
      <c r="O19" s="141">
        <f t="shared" ca="1" si="3"/>
        <v>0</v>
      </c>
      <c r="P19" s="141">
        <f t="shared" ca="1" si="4"/>
        <v>0</v>
      </c>
      <c r="Q19" s="141"/>
      <c r="R19" s="141">
        <f t="shared" si="5"/>
        <v>0</v>
      </c>
      <c r="S19" s="141">
        <f t="shared" si="5"/>
        <v>0</v>
      </c>
      <c r="T19" s="141">
        <f t="shared" si="5"/>
        <v>0</v>
      </c>
      <c r="U19" s="166">
        <f t="shared" si="1"/>
        <v>0</v>
      </c>
      <c r="V19" s="141">
        <f t="shared" si="6"/>
        <v>0</v>
      </c>
      <c r="W19" s="141">
        <f t="shared" si="7"/>
        <v>0</v>
      </c>
      <c r="X19" s="141">
        <f t="shared" si="8"/>
        <v>0</v>
      </c>
      <c r="Z19" s="460" t="b">
        <f t="shared" si="9"/>
        <v>0</v>
      </c>
      <c r="AA19" s="257" t="b">
        <f t="shared" si="10"/>
        <v>0</v>
      </c>
      <c r="AB19" s="459">
        <f t="shared" si="11"/>
        <v>0</v>
      </c>
    </row>
    <row r="20" spans="1:28" ht="15.95" customHeight="1" x14ac:dyDescent="0.2">
      <c r="A20" s="276"/>
      <c r="B20" s="302"/>
      <c r="C20" s="302"/>
      <c r="D20" s="302"/>
      <c r="E20" s="498"/>
      <c r="F20" s="498"/>
      <c r="G20" s="54" t="str">
        <f t="shared" ca="1" si="0"/>
        <v/>
      </c>
      <c r="H20" s="141"/>
      <c r="I20" s="141"/>
      <c r="J20" s="141"/>
      <c r="K20" s="141"/>
      <c r="L20" s="704" t="s">
        <v>160</v>
      </c>
      <c r="M20" s="704"/>
      <c r="N20" s="141">
        <f t="shared" ca="1" si="2"/>
        <v>0</v>
      </c>
      <c r="O20" s="141">
        <f t="shared" ca="1" si="3"/>
        <v>0</v>
      </c>
      <c r="P20" s="141">
        <f t="shared" ca="1" si="4"/>
        <v>0</v>
      </c>
      <c r="Q20" s="141"/>
      <c r="R20" s="141">
        <f t="shared" si="5"/>
        <v>0</v>
      </c>
      <c r="S20" s="141">
        <f t="shared" si="5"/>
        <v>0</v>
      </c>
      <c r="T20" s="141">
        <f t="shared" si="5"/>
        <v>0</v>
      </c>
      <c r="U20" s="166">
        <f t="shared" si="1"/>
        <v>0</v>
      </c>
      <c r="V20" s="141">
        <f t="shared" si="6"/>
        <v>0</v>
      </c>
      <c r="W20" s="141">
        <f t="shared" si="7"/>
        <v>0</v>
      </c>
      <c r="X20" s="141">
        <f t="shared" si="8"/>
        <v>0</v>
      </c>
      <c r="Z20" s="460" t="b">
        <f t="shared" si="9"/>
        <v>0</v>
      </c>
      <c r="AA20" s="257" t="b">
        <f t="shared" si="10"/>
        <v>0</v>
      </c>
      <c r="AB20" s="459">
        <f t="shared" si="11"/>
        <v>0</v>
      </c>
    </row>
    <row r="21" spans="1:28" ht="15.95" customHeight="1" x14ac:dyDescent="0.2">
      <c r="A21" s="276"/>
      <c r="B21" s="302"/>
      <c r="C21" s="302"/>
      <c r="D21" s="302"/>
      <c r="E21" s="498"/>
      <c r="F21" s="498"/>
      <c r="G21" s="54" t="str">
        <f t="shared" ca="1" si="0"/>
        <v/>
      </c>
      <c r="H21" s="141"/>
      <c r="I21" s="141"/>
      <c r="J21" s="141"/>
      <c r="K21" s="141"/>
      <c r="L21" s="704" t="s">
        <v>160</v>
      </c>
      <c r="M21" s="704"/>
      <c r="N21" s="141">
        <f ca="1">IF(AND($G21="disallow",Q$13=0),B21,0)</f>
        <v>0</v>
      </c>
      <c r="O21" s="141">
        <f t="shared" ca="1" si="3"/>
        <v>0</v>
      </c>
      <c r="P21" s="141">
        <f t="shared" ca="1" si="4"/>
        <v>0</v>
      </c>
      <c r="Q21" s="141"/>
      <c r="R21" s="141">
        <f>IF($Q21&gt;0,I21+N21,0)</f>
        <v>0</v>
      </c>
      <c r="S21" s="141">
        <f>IF($Q21&gt;0,J21+O21,0)</f>
        <v>0</v>
      </c>
      <c r="T21" s="141">
        <f>IF($Q21&gt;0,K21+P21,0)</f>
        <v>0</v>
      </c>
      <c r="U21" s="166">
        <f t="shared" si="1"/>
        <v>0</v>
      </c>
      <c r="V21" s="141">
        <f t="shared" si="6"/>
        <v>0</v>
      </c>
      <c r="W21" s="141">
        <f t="shared" si="7"/>
        <v>0</v>
      </c>
      <c r="X21" s="141">
        <f t="shared" si="8"/>
        <v>0</v>
      </c>
      <c r="Z21" s="460" t="b">
        <f t="shared" si="9"/>
        <v>0</v>
      </c>
      <c r="AA21" s="257" t="b">
        <f t="shared" si="10"/>
        <v>0</v>
      </c>
      <c r="AB21" s="459">
        <f t="shared" si="11"/>
        <v>0</v>
      </c>
    </row>
    <row r="22" spans="1:28" ht="15.95" customHeight="1" x14ac:dyDescent="0.2">
      <c r="A22" s="276"/>
      <c r="B22" s="302"/>
      <c r="C22" s="302"/>
      <c r="D22" s="302"/>
      <c r="E22" s="498"/>
      <c r="F22" s="498"/>
      <c r="G22" s="54" t="str">
        <f t="shared" ca="1" si="0"/>
        <v/>
      </c>
      <c r="H22" s="141"/>
      <c r="I22" s="141"/>
      <c r="J22" s="141"/>
      <c r="K22" s="141"/>
      <c r="L22" s="704" t="s">
        <v>663</v>
      </c>
      <c r="M22" s="704"/>
      <c r="N22" s="141">
        <f t="shared" ca="1" si="2"/>
        <v>0</v>
      </c>
      <c r="O22" s="141">
        <f t="shared" ca="1" si="3"/>
        <v>0</v>
      </c>
      <c r="P22" s="141">
        <f t="shared" ca="1" si="4"/>
        <v>0</v>
      </c>
      <c r="Q22" s="141"/>
      <c r="R22" s="141">
        <f t="shared" si="5"/>
        <v>0</v>
      </c>
      <c r="S22" s="141">
        <f t="shared" si="5"/>
        <v>0</v>
      </c>
      <c r="T22" s="141">
        <f t="shared" si="5"/>
        <v>0</v>
      </c>
      <c r="U22" s="166">
        <f t="shared" si="1"/>
        <v>0</v>
      </c>
      <c r="V22" s="141">
        <f t="shared" si="6"/>
        <v>0</v>
      </c>
      <c r="W22" s="141">
        <f t="shared" si="7"/>
        <v>0</v>
      </c>
      <c r="X22" s="141">
        <f t="shared" si="8"/>
        <v>0</v>
      </c>
      <c r="Z22" s="460" t="b">
        <f t="shared" si="9"/>
        <v>0</v>
      </c>
      <c r="AA22" s="257" t="b">
        <f t="shared" si="10"/>
        <v>0</v>
      </c>
      <c r="AB22" s="459">
        <f t="shared" si="11"/>
        <v>0</v>
      </c>
    </row>
    <row r="23" spans="1:28" ht="15.95" customHeight="1" x14ac:dyDescent="0.2">
      <c r="A23" s="276"/>
      <c r="B23" s="302"/>
      <c r="C23" s="302"/>
      <c r="D23" s="302"/>
      <c r="E23" s="498"/>
      <c r="F23" s="498"/>
      <c r="G23" s="54" t="str">
        <f t="shared" ca="1" si="0"/>
        <v/>
      </c>
      <c r="H23" s="141"/>
      <c r="I23" s="141"/>
      <c r="J23" s="141"/>
      <c r="K23" s="141"/>
      <c r="L23" s="704" t="s">
        <v>160</v>
      </c>
      <c r="M23" s="704"/>
      <c r="N23" s="141">
        <f t="shared" ca="1" si="2"/>
        <v>0</v>
      </c>
      <c r="O23" s="141">
        <f t="shared" ca="1" si="3"/>
        <v>0</v>
      </c>
      <c r="P23" s="141">
        <f t="shared" ca="1" si="4"/>
        <v>0</v>
      </c>
      <c r="Q23" s="141"/>
      <c r="R23" s="141">
        <f t="shared" si="5"/>
        <v>0</v>
      </c>
      <c r="S23" s="141">
        <f t="shared" si="5"/>
        <v>0</v>
      </c>
      <c r="T23" s="141">
        <f t="shared" si="5"/>
        <v>0</v>
      </c>
      <c r="U23" s="166">
        <f t="shared" si="1"/>
        <v>0</v>
      </c>
      <c r="V23" s="141">
        <f t="shared" si="6"/>
        <v>0</v>
      </c>
      <c r="W23" s="141">
        <f t="shared" si="7"/>
        <v>0</v>
      </c>
      <c r="X23" s="141">
        <f t="shared" si="8"/>
        <v>0</v>
      </c>
      <c r="Z23" s="460" t="b">
        <f t="shared" si="9"/>
        <v>0</v>
      </c>
      <c r="AA23" s="257" t="b">
        <f t="shared" si="10"/>
        <v>0</v>
      </c>
      <c r="AB23" s="459">
        <f t="shared" si="11"/>
        <v>0</v>
      </c>
    </row>
    <row r="24" spans="1:28" ht="15.95" customHeight="1" x14ac:dyDescent="0.2">
      <c r="A24" s="276"/>
      <c r="B24" s="302"/>
      <c r="C24" s="302"/>
      <c r="D24" s="302"/>
      <c r="E24" s="498"/>
      <c r="F24" s="498"/>
      <c r="G24" s="54" t="str">
        <f t="shared" ca="1" si="0"/>
        <v/>
      </c>
      <c r="H24" s="141"/>
      <c r="I24" s="141"/>
      <c r="J24" s="141"/>
      <c r="K24" s="141"/>
      <c r="L24" s="704" t="s">
        <v>160</v>
      </c>
      <c r="M24" s="704"/>
      <c r="N24" s="141">
        <f t="shared" ca="1" si="2"/>
        <v>0</v>
      </c>
      <c r="O24" s="141">
        <f t="shared" ca="1" si="3"/>
        <v>0</v>
      </c>
      <c r="P24" s="141">
        <f t="shared" ca="1" si="4"/>
        <v>0</v>
      </c>
      <c r="Q24" s="141"/>
      <c r="R24" s="141">
        <f t="shared" si="5"/>
        <v>0</v>
      </c>
      <c r="S24" s="141">
        <f t="shared" si="5"/>
        <v>0</v>
      </c>
      <c r="T24" s="141">
        <f t="shared" si="5"/>
        <v>0</v>
      </c>
      <c r="U24" s="166">
        <f t="shared" si="1"/>
        <v>0</v>
      </c>
      <c r="V24" s="141">
        <f t="shared" si="6"/>
        <v>0</v>
      </c>
      <c r="W24" s="141">
        <f t="shared" si="7"/>
        <v>0</v>
      </c>
      <c r="X24" s="141">
        <f t="shared" si="8"/>
        <v>0</v>
      </c>
      <c r="Z24" s="460" t="b">
        <f t="shared" si="9"/>
        <v>0</v>
      </c>
      <c r="AA24" s="257" t="b">
        <f t="shared" si="10"/>
        <v>0</v>
      </c>
      <c r="AB24" s="459">
        <f t="shared" si="11"/>
        <v>0</v>
      </c>
    </row>
    <row r="25" spans="1:28" ht="15.95" customHeight="1" x14ac:dyDescent="0.2">
      <c r="A25" s="276"/>
      <c r="B25" s="302"/>
      <c r="C25" s="302"/>
      <c r="D25" s="302"/>
      <c r="E25" s="498"/>
      <c r="F25" s="498"/>
      <c r="G25" s="54" t="str">
        <f t="shared" ca="1" si="0"/>
        <v/>
      </c>
      <c r="H25" s="141"/>
      <c r="I25" s="141"/>
      <c r="J25" s="141"/>
      <c r="K25" s="141"/>
      <c r="L25" s="704" t="s">
        <v>160</v>
      </c>
      <c r="M25" s="704"/>
      <c r="N25" s="141">
        <f t="shared" ca="1" si="2"/>
        <v>0</v>
      </c>
      <c r="O25" s="141">
        <f t="shared" ca="1" si="3"/>
        <v>0</v>
      </c>
      <c r="P25" s="141">
        <f t="shared" ca="1" si="4"/>
        <v>0</v>
      </c>
      <c r="Q25" s="141"/>
      <c r="R25" s="141">
        <f t="shared" si="5"/>
        <v>0</v>
      </c>
      <c r="S25" s="141">
        <f t="shared" si="5"/>
        <v>0</v>
      </c>
      <c r="T25" s="141">
        <f t="shared" si="5"/>
        <v>0</v>
      </c>
      <c r="U25" s="166">
        <f t="shared" si="1"/>
        <v>0</v>
      </c>
      <c r="V25" s="141">
        <f t="shared" si="6"/>
        <v>0</v>
      </c>
      <c r="W25" s="141">
        <f t="shared" si="7"/>
        <v>0</v>
      </c>
      <c r="X25" s="141">
        <f t="shared" si="8"/>
        <v>0</v>
      </c>
      <c r="Z25" s="460" t="b">
        <f t="shared" si="9"/>
        <v>0</v>
      </c>
      <c r="AA25" s="257" t="b">
        <f t="shared" si="10"/>
        <v>0</v>
      </c>
      <c r="AB25" s="459">
        <f t="shared" si="11"/>
        <v>0</v>
      </c>
    </row>
    <row r="26" spans="1:28" ht="15.95" customHeight="1" x14ac:dyDescent="0.2">
      <c r="A26" s="276"/>
      <c r="B26" s="302"/>
      <c r="C26" s="302"/>
      <c r="D26" s="302"/>
      <c r="E26" s="498"/>
      <c r="F26" s="498"/>
      <c r="G26" s="54" t="str">
        <f t="shared" ca="1" si="0"/>
        <v/>
      </c>
      <c r="H26" s="141"/>
      <c r="I26" s="141"/>
      <c r="J26" s="141"/>
      <c r="K26" s="141"/>
      <c r="L26" s="704" t="s">
        <v>160</v>
      </c>
      <c r="M26" s="704"/>
      <c r="N26" s="141">
        <f t="shared" ca="1" si="2"/>
        <v>0</v>
      </c>
      <c r="O26" s="141">
        <f t="shared" ca="1" si="3"/>
        <v>0</v>
      </c>
      <c r="P26" s="141">
        <f t="shared" ca="1" si="4"/>
        <v>0</v>
      </c>
      <c r="Q26" s="141"/>
      <c r="R26" s="141">
        <f t="shared" si="5"/>
        <v>0</v>
      </c>
      <c r="S26" s="141">
        <f t="shared" si="5"/>
        <v>0</v>
      </c>
      <c r="T26" s="141">
        <f t="shared" si="5"/>
        <v>0</v>
      </c>
      <c r="U26" s="166">
        <f t="shared" si="1"/>
        <v>0</v>
      </c>
      <c r="V26" s="141">
        <f t="shared" si="6"/>
        <v>0</v>
      </c>
      <c r="W26" s="141">
        <f t="shared" si="7"/>
        <v>0</v>
      </c>
      <c r="X26" s="141">
        <f t="shared" si="8"/>
        <v>0</v>
      </c>
      <c r="Z26" s="460" t="b">
        <f t="shared" si="9"/>
        <v>0</v>
      </c>
      <c r="AA26" s="257" t="b">
        <f t="shared" si="10"/>
        <v>0</v>
      </c>
      <c r="AB26" s="459">
        <f t="shared" si="11"/>
        <v>0</v>
      </c>
    </row>
    <row r="27" spans="1:28" ht="15.95" customHeight="1" x14ac:dyDescent="0.2">
      <c r="A27" s="276"/>
      <c r="B27" s="302"/>
      <c r="C27" s="302"/>
      <c r="D27" s="302"/>
      <c r="E27" s="498"/>
      <c r="F27" s="498"/>
      <c r="G27" s="54" t="str">
        <f t="shared" ca="1" si="0"/>
        <v/>
      </c>
      <c r="H27" s="141"/>
      <c r="I27" s="141"/>
      <c r="J27" s="141"/>
      <c r="K27" s="141"/>
      <c r="L27" s="704" t="s">
        <v>160</v>
      </c>
      <c r="M27" s="704"/>
      <c r="N27" s="141">
        <f t="shared" ca="1" si="2"/>
        <v>0</v>
      </c>
      <c r="O27" s="141">
        <f t="shared" ca="1" si="3"/>
        <v>0</v>
      </c>
      <c r="P27" s="141">
        <f t="shared" ca="1" si="4"/>
        <v>0</v>
      </c>
      <c r="Q27" s="141"/>
      <c r="R27" s="141">
        <f t="shared" si="5"/>
        <v>0</v>
      </c>
      <c r="S27" s="141">
        <f t="shared" si="5"/>
        <v>0</v>
      </c>
      <c r="T27" s="141">
        <f t="shared" si="5"/>
        <v>0</v>
      </c>
      <c r="U27" s="166">
        <f t="shared" si="1"/>
        <v>0</v>
      </c>
      <c r="V27" s="141">
        <f t="shared" si="6"/>
        <v>0</v>
      </c>
      <c r="W27" s="141">
        <f t="shared" si="7"/>
        <v>0</v>
      </c>
      <c r="X27" s="141">
        <f t="shared" si="8"/>
        <v>0</v>
      </c>
      <c r="Z27" s="460" t="b">
        <f t="shared" si="9"/>
        <v>0</v>
      </c>
      <c r="AA27" s="257" t="b">
        <f t="shared" si="10"/>
        <v>0</v>
      </c>
      <c r="AB27" s="459">
        <f t="shared" si="11"/>
        <v>0</v>
      </c>
    </row>
    <row r="28" spans="1:28" ht="15.95" customHeight="1" x14ac:dyDescent="0.2">
      <c r="A28" s="276"/>
      <c r="B28" s="302"/>
      <c r="C28" s="302"/>
      <c r="D28" s="302"/>
      <c r="E28" s="498"/>
      <c r="F28" s="498"/>
      <c r="G28" s="54" t="str">
        <f t="shared" ca="1" si="0"/>
        <v/>
      </c>
      <c r="H28" s="141"/>
      <c r="I28" s="141"/>
      <c r="J28" s="141"/>
      <c r="K28" s="141"/>
      <c r="L28" s="704" t="s">
        <v>160</v>
      </c>
      <c r="M28" s="704"/>
      <c r="N28" s="141">
        <f t="shared" ca="1" si="2"/>
        <v>0</v>
      </c>
      <c r="O28" s="141">
        <f t="shared" ca="1" si="3"/>
        <v>0</v>
      </c>
      <c r="P28" s="141">
        <f t="shared" ca="1" si="4"/>
        <v>0</v>
      </c>
      <c r="Q28" s="141"/>
      <c r="R28" s="141">
        <f t="shared" si="5"/>
        <v>0</v>
      </c>
      <c r="S28" s="141">
        <f t="shared" si="5"/>
        <v>0</v>
      </c>
      <c r="T28" s="141">
        <f t="shared" si="5"/>
        <v>0</v>
      </c>
      <c r="U28" s="166">
        <f t="shared" si="1"/>
        <v>0</v>
      </c>
      <c r="V28" s="141">
        <f t="shared" si="6"/>
        <v>0</v>
      </c>
      <c r="W28" s="141">
        <f t="shared" si="7"/>
        <v>0</v>
      </c>
      <c r="X28" s="141">
        <f t="shared" si="8"/>
        <v>0</v>
      </c>
      <c r="Z28" s="460" t="b">
        <f t="shared" si="9"/>
        <v>0</v>
      </c>
      <c r="AA28" s="257" t="b">
        <f t="shared" si="10"/>
        <v>0</v>
      </c>
      <c r="AB28" s="459">
        <f t="shared" si="11"/>
        <v>0</v>
      </c>
    </row>
    <row r="29" spans="1:28" ht="15.95" customHeight="1" x14ac:dyDescent="0.2">
      <c r="A29" s="276"/>
      <c r="B29" s="302"/>
      <c r="C29" s="302"/>
      <c r="D29" s="302"/>
      <c r="E29" s="498"/>
      <c r="F29" s="498"/>
      <c r="G29" s="54" t="str">
        <f t="shared" ca="1" si="0"/>
        <v/>
      </c>
      <c r="H29" s="141"/>
      <c r="I29" s="141"/>
      <c r="J29" s="141"/>
      <c r="K29" s="141"/>
      <c r="L29" s="704" t="s">
        <v>160</v>
      </c>
      <c r="M29" s="704"/>
      <c r="N29" s="141">
        <f t="shared" ca="1" si="2"/>
        <v>0</v>
      </c>
      <c r="O29" s="141">
        <f t="shared" ca="1" si="3"/>
        <v>0</v>
      </c>
      <c r="P29" s="141">
        <f t="shared" ca="1" si="4"/>
        <v>0</v>
      </c>
      <c r="Q29" s="141"/>
      <c r="R29" s="141">
        <f t="shared" si="5"/>
        <v>0</v>
      </c>
      <c r="S29" s="141">
        <f t="shared" si="5"/>
        <v>0</v>
      </c>
      <c r="T29" s="141">
        <f t="shared" si="5"/>
        <v>0</v>
      </c>
      <c r="U29" s="166">
        <f t="shared" si="1"/>
        <v>0</v>
      </c>
      <c r="V29" s="141">
        <f t="shared" si="6"/>
        <v>0</v>
      </c>
      <c r="W29" s="141">
        <f t="shared" si="7"/>
        <v>0</v>
      </c>
      <c r="X29" s="141">
        <f t="shared" si="8"/>
        <v>0</v>
      </c>
      <c r="Z29" s="460" t="b">
        <f t="shared" si="9"/>
        <v>0</v>
      </c>
      <c r="AA29" s="257" t="b">
        <f t="shared" si="10"/>
        <v>0</v>
      </c>
      <c r="AB29" s="459">
        <f t="shared" si="11"/>
        <v>0</v>
      </c>
    </row>
    <row r="30" spans="1:28" ht="15.95" customHeight="1" x14ac:dyDescent="0.2">
      <c r="A30" s="276"/>
      <c r="B30" s="302"/>
      <c r="C30" s="302"/>
      <c r="D30" s="302"/>
      <c r="E30" s="498"/>
      <c r="F30" s="498"/>
      <c r="G30" s="54" t="str">
        <f t="shared" ca="1" si="0"/>
        <v/>
      </c>
      <c r="H30" s="141"/>
      <c r="I30" s="141"/>
      <c r="J30" s="141"/>
      <c r="K30" s="141"/>
      <c r="L30" s="704" t="s">
        <v>160</v>
      </c>
      <c r="M30" s="704"/>
      <c r="N30" s="141">
        <f t="shared" ca="1" si="2"/>
        <v>0</v>
      </c>
      <c r="O30" s="141">
        <f t="shared" ca="1" si="3"/>
        <v>0</v>
      </c>
      <c r="P30" s="141">
        <f t="shared" ca="1" si="4"/>
        <v>0</v>
      </c>
      <c r="Q30" s="141"/>
      <c r="R30" s="141">
        <f t="shared" si="5"/>
        <v>0</v>
      </c>
      <c r="S30" s="141">
        <f t="shared" si="5"/>
        <v>0</v>
      </c>
      <c r="T30" s="141">
        <f t="shared" si="5"/>
        <v>0</v>
      </c>
      <c r="U30" s="166">
        <f t="shared" si="1"/>
        <v>0</v>
      </c>
      <c r="V30" s="141">
        <f t="shared" si="6"/>
        <v>0</v>
      </c>
      <c r="W30" s="141">
        <f t="shared" si="7"/>
        <v>0</v>
      </c>
      <c r="X30" s="141">
        <f t="shared" si="8"/>
        <v>0</v>
      </c>
      <c r="Z30" s="460" t="b">
        <f t="shared" si="9"/>
        <v>0</v>
      </c>
      <c r="AA30" s="257" t="b">
        <f t="shared" si="10"/>
        <v>0</v>
      </c>
      <c r="AB30" s="459">
        <f t="shared" si="11"/>
        <v>0</v>
      </c>
    </row>
    <row r="31" spans="1:28" ht="15.95" customHeight="1" x14ac:dyDescent="0.2">
      <c r="A31" s="276"/>
      <c r="B31" s="302"/>
      <c r="C31" s="302"/>
      <c r="D31" s="302"/>
      <c r="E31" s="498"/>
      <c r="F31" s="498"/>
      <c r="G31" s="54" t="str">
        <f t="shared" ca="1" si="0"/>
        <v/>
      </c>
      <c r="H31" s="141"/>
      <c r="I31" s="141"/>
      <c r="J31" s="141"/>
      <c r="K31" s="141"/>
      <c r="L31" s="704" t="s">
        <v>160</v>
      </c>
      <c r="M31" s="704"/>
      <c r="N31" s="141">
        <f t="shared" ca="1" si="2"/>
        <v>0</v>
      </c>
      <c r="O31" s="141">
        <f t="shared" ca="1" si="3"/>
        <v>0</v>
      </c>
      <c r="P31" s="141">
        <f t="shared" ca="1" si="4"/>
        <v>0</v>
      </c>
      <c r="Q31" s="141"/>
      <c r="R31" s="141">
        <f t="shared" si="5"/>
        <v>0</v>
      </c>
      <c r="S31" s="141">
        <f t="shared" si="5"/>
        <v>0</v>
      </c>
      <c r="T31" s="141">
        <f t="shared" si="5"/>
        <v>0</v>
      </c>
      <c r="U31" s="166">
        <f t="shared" si="1"/>
        <v>0</v>
      </c>
      <c r="V31" s="141">
        <f t="shared" si="6"/>
        <v>0</v>
      </c>
      <c r="W31" s="141">
        <f t="shared" si="7"/>
        <v>0</v>
      </c>
      <c r="X31" s="141">
        <f t="shared" si="8"/>
        <v>0</v>
      </c>
      <c r="Z31" s="460" t="b">
        <f t="shared" si="9"/>
        <v>0</v>
      </c>
      <c r="AA31" s="257" t="b">
        <f t="shared" si="10"/>
        <v>0</v>
      </c>
      <c r="AB31" s="459">
        <f t="shared" si="11"/>
        <v>0</v>
      </c>
    </row>
    <row r="32" spans="1:28" ht="15.95" customHeight="1" x14ac:dyDescent="0.2">
      <c r="A32" s="276"/>
      <c r="B32" s="302"/>
      <c r="C32" s="302"/>
      <c r="D32" s="302"/>
      <c r="E32" s="498"/>
      <c r="F32" s="498"/>
      <c r="G32" s="54" t="str">
        <f t="shared" ca="1" si="0"/>
        <v/>
      </c>
      <c r="H32" s="141"/>
      <c r="I32" s="141"/>
      <c r="J32" s="141"/>
      <c r="K32" s="141"/>
      <c r="L32" s="704" t="s">
        <v>663</v>
      </c>
      <c r="M32" s="704"/>
      <c r="N32" s="141">
        <f t="shared" ca="1" si="2"/>
        <v>0</v>
      </c>
      <c r="O32" s="141">
        <f t="shared" ca="1" si="3"/>
        <v>0</v>
      </c>
      <c r="P32" s="141">
        <f t="shared" ca="1" si="4"/>
        <v>0</v>
      </c>
      <c r="Q32" s="141"/>
      <c r="R32" s="141">
        <f t="shared" si="5"/>
        <v>0</v>
      </c>
      <c r="S32" s="141">
        <f t="shared" si="5"/>
        <v>0</v>
      </c>
      <c r="T32" s="141">
        <f t="shared" si="5"/>
        <v>0</v>
      </c>
      <c r="U32" s="166">
        <f t="shared" si="1"/>
        <v>0</v>
      </c>
      <c r="V32" s="141">
        <f t="shared" si="6"/>
        <v>0</v>
      </c>
      <c r="W32" s="141">
        <f t="shared" si="7"/>
        <v>0</v>
      </c>
      <c r="X32" s="141">
        <f t="shared" si="8"/>
        <v>0</v>
      </c>
      <c r="Z32" s="460" t="b">
        <f t="shared" si="9"/>
        <v>0</v>
      </c>
      <c r="AA32" s="257" t="b">
        <f t="shared" si="10"/>
        <v>0</v>
      </c>
      <c r="AB32" s="459">
        <f t="shared" si="11"/>
        <v>0</v>
      </c>
    </row>
    <row r="33" spans="1:28" ht="15.95" customHeight="1" x14ac:dyDescent="0.2">
      <c r="A33" s="276"/>
      <c r="B33" s="302"/>
      <c r="C33" s="302"/>
      <c r="D33" s="302"/>
      <c r="E33" s="498"/>
      <c r="F33" s="498"/>
      <c r="G33" s="54" t="str">
        <f t="shared" ca="1" si="0"/>
        <v/>
      </c>
      <c r="H33" s="141"/>
      <c r="I33" s="141"/>
      <c r="J33" s="141"/>
      <c r="K33" s="141"/>
      <c r="L33" s="704" t="s">
        <v>160</v>
      </c>
      <c r="M33" s="704"/>
      <c r="N33" s="141">
        <f t="shared" ca="1" si="2"/>
        <v>0</v>
      </c>
      <c r="O33" s="141">
        <f t="shared" ca="1" si="3"/>
        <v>0</v>
      </c>
      <c r="P33" s="141">
        <f t="shared" ca="1" si="4"/>
        <v>0</v>
      </c>
      <c r="Q33" s="141"/>
      <c r="R33" s="141">
        <f t="shared" si="5"/>
        <v>0</v>
      </c>
      <c r="S33" s="141">
        <f t="shared" si="5"/>
        <v>0</v>
      </c>
      <c r="T33" s="141">
        <f t="shared" si="5"/>
        <v>0</v>
      </c>
      <c r="U33" s="166">
        <f t="shared" si="1"/>
        <v>0</v>
      </c>
      <c r="V33" s="141">
        <f t="shared" si="6"/>
        <v>0</v>
      </c>
      <c r="W33" s="141">
        <f t="shared" si="7"/>
        <v>0</v>
      </c>
      <c r="X33" s="141">
        <f t="shared" si="8"/>
        <v>0</v>
      </c>
      <c r="Z33" s="460" t="b">
        <f t="shared" si="9"/>
        <v>0</v>
      </c>
      <c r="AA33" s="257" t="b">
        <f t="shared" si="10"/>
        <v>0</v>
      </c>
      <c r="AB33" s="459">
        <f t="shared" si="11"/>
        <v>0</v>
      </c>
    </row>
    <row r="34" spans="1:28" ht="15.95" customHeight="1" x14ac:dyDescent="0.2">
      <c r="A34" s="276"/>
      <c r="B34" s="302"/>
      <c r="C34" s="302"/>
      <c r="D34" s="302"/>
      <c r="E34" s="498"/>
      <c r="F34" s="498"/>
      <c r="G34" s="54" t="str">
        <f t="shared" ca="1" si="0"/>
        <v/>
      </c>
      <c r="H34" s="141"/>
      <c r="I34" s="141"/>
      <c r="J34" s="141"/>
      <c r="K34" s="141"/>
      <c r="L34" s="704" t="s">
        <v>160</v>
      </c>
      <c r="M34" s="704"/>
      <c r="N34" s="141">
        <f t="shared" ca="1" si="2"/>
        <v>0</v>
      </c>
      <c r="O34" s="141">
        <f t="shared" ca="1" si="3"/>
        <v>0</v>
      </c>
      <c r="P34" s="141">
        <f t="shared" ca="1" si="4"/>
        <v>0</v>
      </c>
      <c r="Q34" s="141"/>
      <c r="R34" s="141">
        <f t="shared" si="5"/>
        <v>0</v>
      </c>
      <c r="S34" s="141">
        <f t="shared" si="5"/>
        <v>0</v>
      </c>
      <c r="T34" s="141">
        <f t="shared" si="5"/>
        <v>0</v>
      </c>
      <c r="U34" s="166">
        <f t="shared" si="1"/>
        <v>0</v>
      </c>
      <c r="V34" s="141">
        <f t="shared" si="6"/>
        <v>0</v>
      </c>
      <c r="W34" s="141">
        <f t="shared" si="7"/>
        <v>0</v>
      </c>
      <c r="X34" s="141">
        <f t="shared" si="8"/>
        <v>0</v>
      </c>
      <c r="Z34" s="460" t="b">
        <f t="shared" si="9"/>
        <v>0</v>
      </c>
      <c r="AA34" s="257" t="b">
        <f t="shared" si="10"/>
        <v>0</v>
      </c>
      <c r="AB34" s="459">
        <f t="shared" si="11"/>
        <v>0</v>
      </c>
    </row>
    <row r="35" spans="1:28" ht="15.95" customHeight="1" x14ac:dyDescent="0.2">
      <c r="A35" s="276"/>
      <c r="B35" s="302"/>
      <c r="C35" s="302"/>
      <c r="D35" s="302"/>
      <c r="E35" s="498"/>
      <c r="F35" s="498"/>
      <c r="G35" s="54" t="str">
        <f t="shared" ca="1" si="0"/>
        <v/>
      </c>
      <c r="H35" s="141"/>
      <c r="I35" s="141"/>
      <c r="J35" s="141"/>
      <c r="K35" s="141"/>
      <c r="L35" s="704" t="s">
        <v>160</v>
      </c>
      <c r="M35" s="704"/>
      <c r="N35" s="141">
        <f t="shared" ca="1" si="2"/>
        <v>0</v>
      </c>
      <c r="O35" s="141">
        <f t="shared" ca="1" si="3"/>
        <v>0</v>
      </c>
      <c r="P35" s="141">
        <f t="shared" ca="1" si="4"/>
        <v>0</v>
      </c>
      <c r="Q35" s="141"/>
      <c r="R35" s="141">
        <f t="shared" si="5"/>
        <v>0</v>
      </c>
      <c r="S35" s="141">
        <f t="shared" si="5"/>
        <v>0</v>
      </c>
      <c r="T35" s="141">
        <f t="shared" si="5"/>
        <v>0</v>
      </c>
      <c r="U35" s="166">
        <f t="shared" si="1"/>
        <v>0</v>
      </c>
      <c r="V35" s="141">
        <f t="shared" si="6"/>
        <v>0</v>
      </c>
      <c r="W35" s="141">
        <f t="shared" si="7"/>
        <v>0</v>
      </c>
      <c r="X35" s="141">
        <f t="shared" si="8"/>
        <v>0</v>
      </c>
      <c r="Z35" s="460" t="b">
        <f t="shared" si="9"/>
        <v>0</v>
      </c>
      <c r="AA35" s="257" t="b">
        <f t="shared" si="10"/>
        <v>0</v>
      </c>
      <c r="AB35" s="459">
        <f t="shared" si="11"/>
        <v>0</v>
      </c>
    </row>
    <row r="36" spans="1:28" ht="15.95" customHeight="1" x14ac:dyDescent="0.2">
      <c r="A36" s="276"/>
      <c r="B36" s="302"/>
      <c r="C36" s="302"/>
      <c r="D36" s="302"/>
      <c r="E36" s="498"/>
      <c r="F36" s="498"/>
      <c r="G36" s="54" t="str">
        <f t="shared" ca="1" si="0"/>
        <v/>
      </c>
      <c r="H36" s="141"/>
      <c r="I36" s="141"/>
      <c r="J36" s="141"/>
      <c r="K36" s="141"/>
      <c r="L36" s="704" t="s">
        <v>160</v>
      </c>
      <c r="M36" s="704"/>
      <c r="N36" s="141">
        <f t="shared" ca="1" si="2"/>
        <v>0</v>
      </c>
      <c r="O36" s="141">
        <f t="shared" ca="1" si="3"/>
        <v>0</v>
      </c>
      <c r="P36" s="141">
        <f t="shared" ca="1" si="4"/>
        <v>0</v>
      </c>
      <c r="Q36" s="141"/>
      <c r="R36" s="141">
        <f t="shared" si="5"/>
        <v>0</v>
      </c>
      <c r="S36" s="141">
        <f t="shared" si="5"/>
        <v>0</v>
      </c>
      <c r="T36" s="141">
        <f t="shared" si="5"/>
        <v>0</v>
      </c>
      <c r="U36" s="166">
        <f t="shared" si="1"/>
        <v>0</v>
      </c>
      <c r="V36" s="141">
        <f t="shared" si="6"/>
        <v>0</v>
      </c>
      <c r="W36" s="141">
        <f t="shared" si="7"/>
        <v>0</v>
      </c>
      <c r="X36" s="141">
        <f t="shared" si="8"/>
        <v>0</v>
      </c>
      <c r="Z36" s="460" t="b">
        <f t="shared" si="9"/>
        <v>0</v>
      </c>
      <c r="AA36" s="257" t="b">
        <f t="shared" si="10"/>
        <v>0</v>
      </c>
      <c r="AB36" s="459">
        <f t="shared" si="11"/>
        <v>0</v>
      </c>
    </row>
    <row r="37" spans="1:28" ht="15.95" customHeight="1" x14ac:dyDescent="0.2">
      <c r="A37" s="276"/>
      <c r="B37" s="302"/>
      <c r="C37" s="302"/>
      <c r="D37" s="302"/>
      <c r="E37" s="498"/>
      <c r="F37" s="498"/>
      <c r="G37" s="54" t="str">
        <f t="shared" ca="1" si="0"/>
        <v/>
      </c>
      <c r="H37" s="141"/>
      <c r="I37" s="141"/>
      <c r="J37" s="141"/>
      <c r="K37" s="141"/>
      <c r="L37" s="704" t="s">
        <v>160</v>
      </c>
      <c r="M37" s="704"/>
      <c r="N37" s="141">
        <f t="shared" ca="1" si="2"/>
        <v>0</v>
      </c>
      <c r="O37" s="141">
        <f t="shared" ca="1" si="3"/>
        <v>0</v>
      </c>
      <c r="P37" s="141">
        <f t="shared" ca="1" si="4"/>
        <v>0</v>
      </c>
      <c r="Q37" s="141"/>
      <c r="R37" s="141">
        <f t="shared" si="5"/>
        <v>0</v>
      </c>
      <c r="S37" s="141">
        <f t="shared" si="5"/>
        <v>0</v>
      </c>
      <c r="T37" s="141">
        <f t="shared" si="5"/>
        <v>0</v>
      </c>
      <c r="U37" s="166">
        <f t="shared" si="1"/>
        <v>0</v>
      </c>
      <c r="V37" s="141">
        <f t="shared" si="6"/>
        <v>0</v>
      </c>
      <c r="W37" s="141">
        <f t="shared" si="7"/>
        <v>0</v>
      </c>
      <c r="X37" s="141">
        <f t="shared" si="8"/>
        <v>0</v>
      </c>
      <c r="Z37" s="460" t="b">
        <f t="shared" si="9"/>
        <v>0</v>
      </c>
      <c r="AA37" s="257" t="b">
        <f t="shared" si="10"/>
        <v>0</v>
      </c>
      <c r="AB37" s="459">
        <f t="shared" si="11"/>
        <v>0</v>
      </c>
    </row>
    <row r="38" spans="1:28" ht="15.95" customHeight="1" x14ac:dyDescent="0.2">
      <c r="A38" s="276"/>
      <c r="B38" s="302"/>
      <c r="C38" s="302"/>
      <c r="D38" s="302"/>
      <c r="E38" s="498"/>
      <c r="F38" s="498"/>
      <c r="G38" s="54" t="str">
        <f t="shared" ca="1" si="0"/>
        <v/>
      </c>
      <c r="H38" s="141"/>
      <c r="I38" s="141"/>
      <c r="J38" s="141"/>
      <c r="K38" s="141"/>
      <c r="L38" s="704" t="s">
        <v>160</v>
      </c>
      <c r="M38" s="704"/>
      <c r="N38" s="141">
        <f t="shared" ca="1" si="2"/>
        <v>0</v>
      </c>
      <c r="O38" s="141">
        <f t="shared" ca="1" si="3"/>
        <v>0</v>
      </c>
      <c r="P38" s="141">
        <f t="shared" ca="1" si="4"/>
        <v>0</v>
      </c>
      <c r="Q38" s="141"/>
      <c r="R38" s="141">
        <f t="shared" si="5"/>
        <v>0</v>
      </c>
      <c r="S38" s="141">
        <f t="shared" si="5"/>
        <v>0</v>
      </c>
      <c r="T38" s="141">
        <f t="shared" si="5"/>
        <v>0</v>
      </c>
      <c r="U38" s="166">
        <f t="shared" si="1"/>
        <v>0</v>
      </c>
      <c r="V38" s="141">
        <f t="shared" si="6"/>
        <v>0</v>
      </c>
      <c r="W38" s="141">
        <f t="shared" si="7"/>
        <v>0</v>
      </c>
      <c r="X38" s="141">
        <f t="shared" si="8"/>
        <v>0</v>
      </c>
      <c r="Z38" s="460" t="b">
        <f t="shared" si="9"/>
        <v>0</v>
      </c>
      <c r="AA38" s="257" t="b">
        <f t="shared" si="10"/>
        <v>0</v>
      </c>
      <c r="AB38" s="459">
        <f t="shared" si="11"/>
        <v>0</v>
      </c>
    </row>
    <row r="39" spans="1:28" ht="15.95" customHeight="1" x14ac:dyDescent="0.2">
      <c r="A39" s="276"/>
      <c r="B39" s="302"/>
      <c r="C39" s="302"/>
      <c r="D39" s="302"/>
      <c r="E39" s="498"/>
      <c r="F39" s="498"/>
      <c r="G39" s="54" t="str">
        <f t="shared" ca="1" si="0"/>
        <v/>
      </c>
      <c r="H39" s="141"/>
      <c r="I39" s="141"/>
      <c r="J39" s="141"/>
      <c r="K39" s="141"/>
      <c r="L39" s="704" t="s">
        <v>160</v>
      </c>
      <c r="M39" s="704"/>
      <c r="N39" s="141">
        <f t="shared" ca="1" si="2"/>
        <v>0</v>
      </c>
      <c r="O39" s="141">
        <f t="shared" ca="1" si="3"/>
        <v>0</v>
      </c>
      <c r="P39" s="141">
        <f t="shared" ca="1" si="4"/>
        <v>0</v>
      </c>
      <c r="Q39" s="141"/>
      <c r="R39" s="141">
        <f t="shared" si="5"/>
        <v>0</v>
      </c>
      <c r="S39" s="141">
        <f t="shared" si="5"/>
        <v>0</v>
      </c>
      <c r="T39" s="141">
        <f t="shared" si="5"/>
        <v>0</v>
      </c>
      <c r="U39" s="166">
        <f t="shared" si="1"/>
        <v>0</v>
      </c>
      <c r="V39" s="141">
        <f t="shared" si="6"/>
        <v>0</v>
      </c>
      <c r="W39" s="141">
        <f t="shared" si="7"/>
        <v>0</v>
      </c>
      <c r="X39" s="141">
        <f t="shared" si="8"/>
        <v>0</v>
      </c>
      <c r="Z39" s="460" t="b">
        <f t="shared" si="9"/>
        <v>0</v>
      </c>
      <c r="AA39" s="257" t="b">
        <f t="shared" si="10"/>
        <v>0</v>
      </c>
      <c r="AB39" s="459">
        <f t="shared" si="11"/>
        <v>0</v>
      </c>
    </row>
    <row r="40" spans="1:28" ht="15.95" customHeight="1" x14ac:dyDescent="0.2">
      <c r="A40" s="276"/>
      <c r="B40" s="302"/>
      <c r="C40" s="302"/>
      <c r="D40" s="302"/>
      <c r="E40" s="498"/>
      <c r="F40" s="498"/>
      <c r="G40" s="54" t="str">
        <f t="shared" ca="1" si="0"/>
        <v/>
      </c>
      <c r="H40" s="141"/>
      <c r="I40" s="141"/>
      <c r="J40" s="141"/>
      <c r="K40" s="141"/>
      <c r="L40" s="704" t="s">
        <v>160</v>
      </c>
      <c r="M40" s="704"/>
      <c r="N40" s="141">
        <f t="shared" ca="1" si="2"/>
        <v>0</v>
      </c>
      <c r="O40" s="141">
        <f t="shared" ca="1" si="3"/>
        <v>0</v>
      </c>
      <c r="P40" s="141">
        <f t="shared" ca="1" si="4"/>
        <v>0</v>
      </c>
      <c r="Q40" s="141"/>
      <c r="R40" s="141">
        <f t="shared" si="5"/>
        <v>0</v>
      </c>
      <c r="S40" s="141">
        <f t="shared" si="5"/>
        <v>0</v>
      </c>
      <c r="T40" s="141">
        <f t="shared" si="5"/>
        <v>0</v>
      </c>
      <c r="U40" s="166">
        <f t="shared" si="1"/>
        <v>0</v>
      </c>
      <c r="V40" s="141">
        <f t="shared" si="6"/>
        <v>0</v>
      </c>
      <c r="W40" s="141">
        <f t="shared" si="7"/>
        <v>0</v>
      </c>
      <c r="X40" s="141">
        <f t="shared" si="8"/>
        <v>0</v>
      </c>
      <c r="Z40" s="460" t="b">
        <f t="shared" si="9"/>
        <v>0</v>
      </c>
      <c r="AA40" s="257" t="b">
        <f t="shared" si="10"/>
        <v>0</v>
      </c>
      <c r="AB40" s="459">
        <f t="shared" si="11"/>
        <v>0</v>
      </c>
    </row>
    <row r="41" spans="1:28" ht="15.95" customHeight="1" x14ac:dyDescent="0.2">
      <c r="A41" s="276"/>
      <c r="B41" s="302"/>
      <c r="C41" s="302"/>
      <c r="D41" s="302"/>
      <c r="E41" s="498"/>
      <c r="F41" s="498"/>
      <c r="G41" s="54" t="str">
        <f t="shared" ca="1" si="0"/>
        <v/>
      </c>
      <c r="H41" s="141"/>
      <c r="I41" s="141"/>
      <c r="J41" s="141"/>
      <c r="K41" s="141"/>
      <c r="L41" s="704" t="s">
        <v>160</v>
      </c>
      <c r="M41" s="704"/>
      <c r="N41" s="141">
        <f t="shared" ca="1" si="2"/>
        <v>0</v>
      </c>
      <c r="O41" s="141">
        <f t="shared" ca="1" si="3"/>
        <v>0</v>
      </c>
      <c r="P41" s="141">
        <f t="shared" ca="1" si="4"/>
        <v>0</v>
      </c>
      <c r="Q41" s="141"/>
      <c r="R41" s="141">
        <f t="shared" si="5"/>
        <v>0</v>
      </c>
      <c r="S41" s="141">
        <f t="shared" si="5"/>
        <v>0</v>
      </c>
      <c r="T41" s="141">
        <f t="shared" si="5"/>
        <v>0</v>
      </c>
      <c r="U41" s="166">
        <f t="shared" si="1"/>
        <v>0</v>
      </c>
      <c r="V41" s="141">
        <f t="shared" si="6"/>
        <v>0</v>
      </c>
      <c r="W41" s="141">
        <f t="shared" si="7"/>
        <v>0</v>
      </c>
      <c r="X41" s="141">
        <f t="shared" si="8"/>
        <v>0</v>
      </c>
      <c r="Z41" s="460" t="b">
        <f t="shared" si="9"/>
        <v>0</v>
      </c>
      <c r="AA41" s="257" t="b">
        <f t="shared" si="10"/>
        <v>0</v>
      </c>
      <c r="AB41" s="459">
        <f t="shared" si="11"/>
        <v>0</v>
      </c>
    </row>
    <row r="42" spans="1:28" ht="15.95" customHeight="1" x14ac:dyDescent="0.2">
      <c r="A42" s="276"/>
      <c r="B42" s="302"/>
      <c r="C42" s="302"/>
      <c r="D42" s="302"/>
      <c r="E42" s="498"/>
      <c r="F42" s="498"/>
      <c r="G42" s="54" t="str">
        <f t="shared" ca="1" si="0"/>
        <v/>
      </c>
      <c r="H42" s="141"/>
      <c r="I42" s="141"/>
      <c r="J42" s="141"/>
      <c r="K42" s="141"/>
      <c r="L42" s="704" t="s">
        <v>160</v>
      </c>
      <c r="M42" s="704"/>
      <c r="N42" s="141">
        <f t="shared" ca="1" si="2"/>
        <v>0</v>
      </c>
      <c r="O42" s="141">
        <f t="shared" ca="1" si="3"/>
        <v>0</v>
      </c>
      <c r="P42" s="141">
        <f t="shared" ca="1" si="4"/>
        <v>0</v>
      </c>
      <c r="Q42" s="141"/>
      <c r="R42" s="141">
        <f t="shared" si="5"/>
        <v>0</v>
      </c>
      <c r="S42" s="141">
        <f t="shared" si="5"/>
        <v>0</v>
      </c>
      <c r="T42" s="141">
        <f t="shared" si="5"/>
        <v>0</v>
      </c>
      <c r="U42" s="166">
        <f t="shared" si="1"/>
        <v>0</v>
      </c>
      <c r="V42" s="141">
        <f t="shared" si="6"/>
        <v>0</v>
      </c>
      <c r="W42" s="141">
        <f t="shared" si="7"/>
        <v>0</v>
      </c>
      <c r="X42" s="141">
        <f t="shared" si="8"/>
        <v>0</v>
      </c>
      <c r="Z42" s="460" t="b">
        <f t="shared" si="9"/>
        <v>0</v>
      </c>
      <c r="AA42" s="257" t="b">
        <f t="shared" si="10"/>
        <v>0</v>
      </c>
      <c r="AB42" s="459">
        <f t="shared" si="11"/>
        <v>0</v>
      </c>
    </row>
    <row r="43" spans="1:28" ht="15.95" customHeight="1" x14ac:dyDescent="0.2">
      <c r="A43" s="276"/>
      <c r="B43" s="302"/>
      <c r="C43" s="302"/>
      <c r="D43" s="302"/>
      <c r="E43" s="498"/>
      <c r="F43" s="498"/>
      <c r="G43" s="54" t="str">
        <f t="shared" ca="1" si="0"/>
        <v/>
      </c>
      <c r="H43" s="141"/>
      <c r="I43" s="141"/>
      <c r="J43" s="141"/>
      <c r="K43" s="141"/>
      <c r="L43" s="704" t="s">
        <v>160</v>
      </c>
      <c r="M43" s="704"/>
      <c r="N43" s="141">
        <f t="shared" ca="1" si="2"/>
        <v>0</v>
      </c>
      <c r="O43" s="141">
        <f t="shared" ca="1" si="3"/>
        <v>0</v>
      </c>
      <c r="P43" s="141">
        <f t="shared" ca="1" si="4"/>
        <v>0</v>
      </c>
      <c r="Q43" s="141"/>
      <c r="R43" s="141">
        <f t="shared" si="5"/>
        <v>0</v>
      </c>
      <c r="S43" s="141">
        <f t="shared" si="5"/>
        <v>0</v>
      </c>
      <c r="T43" s="141">
        <f t="shared" si="5"/>
        <v>0</v>
      </c>
      <c r="U43" s="166">
        <f t="shared" si="1"/>
        <v>0</v>
      </c>
      <c r="V43" s="141">
        <f t="shared" si="6"/>
        <v>0</v>
      </c>
      <c r="W43" s="141">
        <f t="shared" si="7"/>
        <v>0</v>
      </c>
      <c r="X43" s="141">
        <f t="shared" si="8"/>
        <v>0</v>
      </c>
      <c r="Z43" s="460"/>
      <c r="AA43" s="257"/>
      <c r="AB43" s="459">
        <f>SUM(AB13:AB42)</f>
        <v>0</v>
      </c>
    </row>
    <row r="44" spans="1:28" ht="15.95" customHeight="1" x14ac:dyDescent="0.2">
      <c r="A44" s="13" t="s">
        <v>37</v>
      </c>
      <c r="B44" s="277">
        <f ca="1">SUM(B13:B43)-N44+I44-V44</f>
        <v>0</v>
      </c>
      <c r="C44" s="277">
        <f ca="1">SUM(C13:C43)-O44+J44-W44</f>
        <v>0</v>
      </c>
      <c r="D44" s="277">
        <f ca="1">SUM(D13:D43)-P44+K44-X44</f>
        <v>0</v>
      </c>
      <c r="E44" s="10"/>
      <c r="F44" s="716" t="str">
        <f>IF(AB43&gt;0,"Please provide names.","")</f>
        <v/>
      </c>
      <c r="G44" s="54"/>
      <c r="H44" s="106"/>
      <c r="I44" s="106">
        <f>-SUM(I13:I43)+R44</f>
        <v>0</v>
      </c>
      <c r="J44" s="106">
        <f>-SUM(J13:J43)+S44</f>
        <v>0</v>
      </c>
      <c r="K44" s="106">
        <f>-SUM(K13:K43)+T44</f>
        <v>0</v>
      </c>
      <c r="L44" s="106" t="str">
        <f>L13&amp;L14&amp;L15&amp;L16&amp;L17&amp;L18&amp;L19&amp;L20&amp;L21&amp;L22&amp;L23&amp;L24&amp;L25&amp;L26&amp;L27&amp;L28&amp;L29&amp;L30&amp;L31&amp;L32&amp;L33&amp;L34&amp;L35&amp;L36&amp;L37&amp;L38&amp;L39&amp;L40&amp;L41&amp;L42&amp;L43</f>
        <v xml:space="preserve">                                 </v>
      </c>
      <c r="N44" s="106">
        <f ca="1">SUM(N13:N43)</f>
        <v>0</v>
      </c>
      <c r="O44" s="106">
        <f ca="1">SUM(O13:O43)</f>
        <v>0</v>
      </c>
      <c r="P44" s="106">
        <f ca="1">SUM(P13:P43)</f>
        <v>0</v>
      </c>
      <c r="Q44" s="106">
        <f>COUNTA(Q13:Q43)</f>
        <v>0</v>
      </c>
      <c r="R44" s="106">
        <f t="shared" ref="R44:X44" si="12">SUM(R13:R43)</f>
        <v>0</v>
      </c>
      <c r="S44" s="106">
        <f t="shared" si="12"/>
        <v>0</v>
      </c>
      <c r="T44" s="106">
        <f t="shared" si="12"/>
        <v>0</v>
      </c>
      <c r="U44" s="207">
        <f t="shared" si="12"/>
        <v>0</v>
      </c>
      <c r="V44" s="106">
        <f t="shared" si="12"/>
        <v>0</v>
      </c>
      <c r="W44" s="106">
        <f t="shared" si="12"/>
        <v>0</v>
      </c>
      <c r="X44" s="106">
        <f t="shared" si="12"/>
        <v>0</v>
      </c>
    </row>
    <row r="45" spans="1:28" ht="15.95" customHeight="1" x14ac:dyDescent="0.2">
      <c r="A45" s="13" t="s">
        <v>42</v>
      </c>
      <c r="B45" s="10">
        <v>4</v>
      </c>
      <c r="C45" s="10">
        <v>7</v>
      </c>
      <c r="D45" s="10">
        <v>10</v>
      </c>
      <c r="E45" s="10"/>
      <c r="F45" s="717"/>
      <c r="G45" s="54"/>
    </row>
    <row r="46" spans="1:28" ht="15.95" customHeight="1" x14ac:dyDescent="0.2">
      <c r="A46" s="13" t="s">
        <v>43</v>
      </c>
      <c r="B46" s="126" t="str">
        <f>IF(E47&gt;3,B44*B45,"Please Fill")</f>
        <v>Please Fill</v>
      </c>
      <c r="C46" s="126" t="str">
        <f>IF(E47&gt;3,C44*C45,"in the ")</f>
        <v xml:space="preserve">in the </v>
      </c>
      <c r="D46" s="234" t="str">
        <f>IF(E47&gt;3,D44*D45,"yellow spaces")</f>
        <v>yellow spaces</v>
      </c>
      <c r="E46" s="63"/>
      <c r="F46" s="717"/>
      <c r="G46" s="54"/>
    </row>
    <row r="47" spans="1:28" x14ac:dyDescent="0.2">
      <c r="B47" s="64"/>
      <c r="C47" s="64"/>
      <c r="D47" s="233" t="str">
        <f>IF(E47&gt;3,SUM(B46:D46)+SUM(I44:K44),"on summary page")</f>
        <v>on summary page</v>
      </c>
      <c r="E47" s="232">
        <f>Summary!O12</f>
        <v>1</v>
      </c>
      <c r="F47" s="3" t="s">
        <v>49</v>
      </c>
    </row>
  </sheetData>
  <sheetProtection algorithmName="SHA-512" hashValue="LShlZqERaahwYdVt0mT4fqJ6ZrKRTVLAZUPtqpdM//6VGtjFkTFj1GSMD/6XL2I4zOQBUIkMIuqrxYNTesb4Hg==" saltValue="LCuXpP8EioEqbX10ek/U2A==" spinCount="100000" sheet="1" objects="1" scenarios="1"/>
  <mergeCells count="53">
    <mergeCell ref="Q11:T11"/>
    <mergeCell ref="L13:M13"/>
    <mergeCell ref="L14:M14"/>
    <mergeCell ref="L15:M15"/>
    <mergeCell ref="B11:D11"/>
    <mergeCell ref="E11:E12"/>
    <mergeCell ref="F11:F12"/>
    <mergeCell ref="I10:M10"/>
    <mergeCell ref="L16:M16"/>
    <mergeCell ref="I11:L11"/>
    <mergeCell ref="L17:M17"/>
    <mergeCell ref="L18:M18"/>
    <mergeCell ref="L43:M43"/>
    <mergeCell ref="L37:M37"/>
    <mergeCell ref="L38:M38"/>
    <mergeCell ref="L39:M39"/>
    <mergeCell ref="L40:M40"/>
    <mergeCell ref="L26:M26"/>
    <mergeCell ref="V11:X11"/>
    <mergeCell ref="N12:P12"/>
    <mergeCell ref="U11:U12"/>
    <mergeCell ref="L42:M42"/>
    <mergeCell ref="L20:M20"/>
    <mergeCell ref="L21:M21"/>
    <mergeCell ref="L28:M28"/>
    <mergeCell ref="L29:M29"/>
    <mergeCell ref="L30:M30"/>
    <mergeCell ref="L31:M31"/>
    <mergeCell ref="L22:M22"/>
    <mergeCell ref="L23:M23"/>
    <mergeCell ref="L24:M24"/>
    <mergeCell ref="L25:M25"/>
    <mergeCell ref="L19:M19"/>
    <mergeCell ref="L27:M27"/>
    <mergeCell ref="L41:M41"/>
    <mergeCell ref="L32:M32"/>
    <mergeCell ref="L33:M33"/>
    <mergeCell ref="L34:M34"/>
    <mergeCell ref="L35:M35"/>
    <mergeCell ref="L36:M36"/>
    <mergeCell ref="F44:F46"/>
    <mergeCell ref="A6:B6"/>
    <mergeCell ref="C1:D1"/>
    <mergeCell ref="C2:D2"/>
    <mergeCell ref="C3:D3"/>
    <mergeCell ref="C4:D4"/>
    <mergeCell ref="C5:D5"/>
    <mergeCell ref="C6:D6"/>
    <mergeCell ref="A1:B1"/>
    <mergeCell ref="A2:B2"/>
    <mergeCell ref="A3:B3"/>
    <mergeCell ref="A4:B4"/>
    <mergeCell ref="A5:B5"/>
  </mergeCells>
  <phoneticPr fontId="0" type="noConversion"/>
  <conditionalFormatting sqref="A13:A43">
    <cfRule type="expression" priority="14">
      <formula>AND($G13="disallow",$Q13="")</formula>
    </cfRule>
  </conditionalFormatting>
  <conditionalFormatting sqref="B13:D43">
    <cfRule type="expression" dxfId="98" priority="13">
      <formula>AND($G13="disallow",$Q13="")</formula>
    </cfRule>
  </conditionalFormatting>
  <conditionalFormatting sqref="C13:C43">
    <cfRule type="expression" priority="12">
      <formula>AND($G13="disallow",$Q13="")</formula>
    </cfRule>
  </conditionalFormatting>
  <conditionalFormatting sqref="D13:D43">
    <cfRule type="expression" dxfId="97" priority="11">
      <formula>AND($G13="disallow",$Q13="")</formula>
    </cfRule>
  </conditionalFormatting>
  <conditionalFormatting sqref="E13:E43">
    <cfRule type="expression" dxfId="96" priority="10">
      <formula>AND($G$13="disallow",$Q$13="")</formula>
    </cfRule>
  </conditionalFormatting>
  <conditionalFormatting sqref="F13:F43">
    <cfRule type="expression" dxfId="95" priority="9">
      <formula>AND($G$13="disallow",$Q13="")</formula>
    </cfRule>
  </conditionalFormatting>
  <conditionalFormatting sqref="B46:D47">
    <cfRule type="expression" dxfId="94" priority="8">
      <formula>$E$47&lt;4</formula>
    </cfRule>
  </conditionalFormatting>
  <conditionalFormatting sqref="A13:A43">
    <cfRule type="expression" priority="7">
      <formula>AND($G13="disallow",$Q13="")</formula>
    </cfRule>
  </conditionalFormatting>
  <conditionalFormatting sqref="B13:D43">
    <cfRule type="expression" dxfId="93" priority="6">
      <formula>AND($G13="disallow",$Q13="")</formula>
    </cfRule>
  </conditionalFormatting>
  <conditionalFormatting sqref="C13:C43">
    <cfRule type="expression" priority="5">
      <formula>AND($G13="disallow",$Q13="")</formula>
    </cfRule>
  </conditionalFormatting>
  <conditionalFormatting sqref="D13:D43">
    <cfRule type="expression" dxfId="92" priority="4">
      <formula>AND($G13="disallow",$Q13="")</formula>
    </cfRule>
  </conditionalFormatting>
  <conditionalFormatting sqref="E13:E43">
    <cfRule type="expression" dxfId="91" priority="3">
      <formula>AND($G$13="disallow",$Q$13="")</formula>
    </cfRule>
  </conditionalFormatting>
  <conditionalFormatting sqref="F13:F43">
    <cfRule type="expression" dxfId="90" priority="2">
      <formula>AND($G$13="disallow",$Q13="")</formula>
    </cfRule>
  </conditionalFormatting>
  <conditionalFormatting sqref="B46:D47">
    <cfRule type="expression" dxfId="89" priority="1">
      <formula>$E$47&lt;4</formula>
    </cfRule>
  </conditionalFormatting>
  <dataValidations count="1">
    <dataValidation type="decimal" errorStyle="information" allowBlank="1" showInputMessage="1" showErrorMessage="1" errorTitle="Max Allowed" error="The maximum number of students or volunteers allowed per meal is 7. Please reference the Field Finance Manual." prompt="Please enter a number instead of a word." sqref="B13:D43" xr:uid="{00000000-0002-0000-0C00-000000000000}">
      <formula1>0</formula1>
      <formula2>7</formula2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S61"/>
  <sheetViews>
    <sheetView view="pageBreakPreview" zoomScale="75" zoomScaleNormal="100" zoomScaleSheetLayoutView="75" workbookViewId="0">
      <selection activeCell="A18" sqref="A18"/>
    </sheetView>
  </sheetViews>
  <sheetFormatPr defaultRowHeight="12.75" x14ac:dyDescent="0.2"/>
  <cols>
    <col min="1" max="4" width="10.7109375" customWidth="1"/>
    <col min="5" max="7" width="23.7109375" customWidth="1"/>
    <col min="8" max="11" width="10.7109375" customWidth="1"/>
    <col min="12" max="12" width="8.85546875" customWidth="1"/>
    <col min="13" max="13" width="12.140625" customWidth="1"/>
    <col min="14" max="14" width="10.7109375" style="46" customWidth="1"/>
    <col min="15" max="15" width="4.7109375" style="53" customWidth="1"/>
    <col min="16" max="16" width="2.85546875" style="53" customWidth="1"/>
    <col min="17" max="17" width="5.7109375" style="418" customWidth="1"/>
    <col min="18" max="18" width="6.7109375" style="418" customWidth="1"/>
    <col min="19" max="19" width="6.28515625" style="418" customWidth="1"/>
    <col min="20" max="20" width="5.5703125" style="418" customWidth="1"/>
    <col min="21" max="21" width="7.140625" style="418" customWidth="1"/>
    <col min="22" max="22" width="5.7109375" style="418" customWidth="1"/>
    <col min="23" max="23" width="5.28515625" style="401" customWidth="1"/>
    <col min="24" max="24" width="7.7109375" style="401" customWidth="1"/>
    <col min="25" max="25" width="8.5703125" style="401" customWidth="1"/>
    <col min="26" max="26" width="5.5703125" style="171" bestFit="1" customWidth="1"/>
    <col min="27" max="27" width="8.5703125" style="163" customWidth="1"/>
    <col min="28" max="28" width="5.7109375" style="163" customWidth="1"/>
    <col min="29" max="31" width="5.85546875" style="163" customWidth="1"/>
    <col min="32" max="32" width="5.7109375" style="163" customWidth="1"/>
    <col min="33" max="33" width="6.28515625" style="163" customWidth="1"/>
    <col min="34" max="38" width="9.140625" style="163" customWidth="1"/>
    <col min="39" max="39" width="6.28515625" style="163" customWidth="1"/>
    <col min="40" max="44" width="9.140625" style="163" customWidth="1"/>
    <col min="45" max="45" width="9.140625" style="317"/>
  </cols>
  <sheetData>
    <row r="1" spans="1:45" x14ac:dyDescent="0.2">
      <c r="A1" s="639" t="s">
        <v>27</v>
      </c>
      <c r="B1" s="640"/>
      <c r="C1" s="640"/>
      <c r="D1" s="640"/>
      <c r="E1" s="641"/>
      <c r="J1" s="5" t="s">
        <v>80</v>
      </c>
      <c r="K1" s="4" t="str">
        <f>'2nd page'!K1</f>
        <v>No grocery receipts are required.</v>
      </c>
      <c r="L1" s="4"/>
      <c r="M1" s="45"/>
      <c r="O1" s="54"/>
      <c r="P1" s="54"/>
      <c r="Q1" s="417"/>
      <c r="R1" s="417"/>
      <c r="S1" s="417"/>
      <c r="T1" s="417"/>
      <c r="U1" s="417"/>
      <c r="V1" s="417"/>
      <c r="W1" s="400"/>
      <c r="X1" s="400"/>
      <c r="Y1" s="400"/>
    </row>
    <row r="2" spans="1:45" x14ac:dyDescent="0.2">
      <c r="A2" s="375" t="s">
        <v>22</v>
      </c>
      <c r="B2" s="377"/>
      <c r="C2" s="375" t="s">
        <v>24</v>
      </c>
      <c r="D2" s="376"/>
      <c r="E2" s="377"/>
      <c r="J2" s="5" t="s">
        <v>109</v>
      </c>
      <c r="K2" s="8">
        <f>'2nd page'!K2</f>
        <v>0</v>
      </c>
      <c r="L2" s="14"/>
    </row>
    <row r="3" spans="1:45" x14ac:dyDescent="0.2">
      <c r="A3" s="378" t="s">
        <v>12</v>
      </c>
      <c r="B3" s="380"/>
      <c r="C3" s="378" t="s">
        <v>25</v>
      </c>
      <c r="D3" s="379"/>
      <c r="E3" s="380"/>
    </row>
    <row r="4" spans="1:45" ht="12.75" customHeight="1" x14ac:dyDescent="0.2">
      <c r="A4" s="381" t="s">
        <v>11</v>
      </c>
      <c r="B4" s="383"/>
      <c r="C4" s="381" t="s">
        <v>23</v>
      </c>
      <c r="D4" s="382"/>
      <c r="E4" s="383"/>
      <c r="G4" s="448" t="s">
        <v>1650</v>
      </c>
      <c r="H4" s="446"/>
      <c r="J4" s="445"/>
      <c r="K4" s="445"/>
      <c r="M4" s="445"/>
      <c r="N4" s="445"/>
      <c r="O4" s="445"/>
    </row>
    <row r="5" spans="1:45" x14ac:dyDescent="0.2">
      <c r="G5" s="449" t="s">
        <v>1649</v>
      </c>
      <c r="H5" s="446"/>
      <c r="I5" s="445"/>
      <c r="J5" s="445"/>
      <c r="K5" s="445"/>
      <c r="L5" s="445"/>
      <c r="M5" s="445"/>
      <c r="N5" s="445"/>
      <c r="O5" s="445"/>
    </row>
    <row r="6" spans="1:45" x14ac:dyDescent="0.2">
      <c r="G6" s="449" t="s">
        <v>1648</v>
      </c>
    </row>
    <row r="8" spans="1:45" ht="12.75" customHeight="1" x14ac:dyDescent="0.2">
      <c r="A8" s="630" t="s">
        <v>1636</v>
      </c>
      <c r="B8" s="631"/>
      <c r="C8" s="631"/>
      <c r="D8" s="631"/>
      <c r="E8" s="632"/>
      <c r="G8" s="658" t="s">
        <v>128</v>
      </c>
      <c r="H8" s="659"/>
      <c r="I8" s="659"/>
      <c r="J8" s="660"/>
      <c r="K8" s="773"/>
      <c r="L8" s="774"/>
      <c r="M8" s="774"/>
      <c r="N8" s="775"/>
      <c r="W8" s="755" t="s">
        <v>293</v>
      </c>
      <c r="X8" s="756"/>
      <c r="Y8" s="756"/>
      <c r="Z8" s="756"/>
      <c r="AA8" s="756"/>
      <c r="AB8" s="756"/>
      <c r="AC8" s="757" t="s">
        <v>289</v>
      </c>
      <c r="AD8" s="758"/>
      <c r="AE8" s="758"/>
      <c r="AF8" s="758"/>
      <c r="AG8" s="759"/>
      <c r="AH8" s="757" t="s">
        <v>294</v>
      </c>
      <c r="AI8" s="758"/>
      <c r="AJ8" s="758"/>
      <c r="AK8" s="758"/>
      <c r="AL8" s="759"/>
      <c r="AM8" s="402"/>
      <c r="AN8" s="757" t="s">
        <v>512</v>
      </c>
      <c r="AO8" s="758"/>
      <c r="AP8" s="758"/>
      <c r="AQ8" s="758"/>
      <c r="AR8" s="759"/>
    </row>
    <row r="9" spans="1:45" ht="12.75" customHeight="1" x14ac:dyDescent="0.2">
      <c r="A9" s="745"/>
      <c r="B9" s="746"/>
      <c r="C9" s="746"/>
      <c r="D9" s="746"/>
      <c r="E9" s="747"/>
      <c r="G9" s="441" t="s">
        <v>115</v>
      </c>
      <c r="H9" s="442"/>
      <c r="I9" s="442"/>
      <c r="J9" s="443"/>
      <c r="K9" s="646"/>
      <c r="L9" s="647"/>
      <c r="M9" s="647"/>
      <c r="N9" s="648"/>
      <c r="W9" s="778" t="s">
        <v>119</v>
      </c>
      <c r="X9" s="766" t="s">
        <v>120</v>
      </c>
      <c r="Y9" s="766" t="s">
        <v>1615</v>
      </c>
      <c r="Z9" s="766" t="s">
        <v>1616</v>
      </c>
      <c r="AA9" s="766" t="s">
        <v>121</v>
      </c>
      <c r="AB9" s="766" t="s">
        <v>285</v>
      </c>
      <c r="AC9" s="766" t="s">
        <v>120</v>
      </c>
      <c r="AD9" s="766" t="s">
        <v>1615</v>
      </c>
      <c r="AE9" s="766" t="s">
        <v>1616</v>
      </c>
      <c r="AF9" s="766" t="s">
        <v>121</v>
      </c>
      <c r="AG9" s="768" t="s">
        <v>285</v>
      </c>
      <c r="AH9" s="766" t="s">
        <v>120</v>
      </c>
      <c r="AI9" s="766" t="s">
        <v>1615</v>
      </c>
      <c r="AJ9" s="766" t="s">
        <v>1616</v>
      </c>
      <c r="AK9" s="766" t="s">
        <v>121</v>
      </c>
      <c r="AL9" s="768" t="s">
        <v>285</v>
      </c>
      <c r="AM9" s="754" t="s">
        <v>511</v>
      </c>
      <c r="AN9" s="766" t="s">
        <v>120</v>
      </c>
      <c r="AO9" s="766" t="s">
        <v>1615</v>
      </c>
      <c r="AP9" s="766" t="s">
        <v>120</v>
      </c>
      <c r="AQ9" s="766" t="s">
        <v>121</v>
      </c>
      <c r="AR9" s="768" t="s">
        <v>285</v>
      </c>
    </row>
    <row r="10" spans="1:45" x14ac:dyDescent="0.2">
      <c r="A10" s="748"/>
      <c r="B10" s="749"/>
      <c r="C10" s="749"/>
      <c r="D10" s="749"/>
      <c r="E10" s="750"/>
      <c r="G10" s="447" t="s">
        <v>116</v>
      </c>
      <c r="H10" s="442"/>
      <c r="I10" s="442"/>
      <c r="J10" s="443"/>
      <c r="K10" s="646"/>
      <c r="L10" s="647"/>
      <c r="M10" s="647"/>
      <c r="N10" s="648"/>
      <c r="W10" s="779"/>
      <c r="X10" s="767"/>
      <c r="Y10" s="770"/>
      <c r="Z10" s="767"/>
      <c r="AA10" s="767"/>
      <c r="AB10" s="767"/>
      <c r="AC10" s="767"/>
      <c r="AD10" s="770"/>
      <c r="AE10" s="767"/>
      <c r="AF10" s="767"/>
      <c r="AG10" s="769"/>
      <c r="AH10" s="767"/>
      <c r="AI10" s="770"/>
      <c r="AJ10" s="767"/>
      <c r="AK10" s="767"/>
      <c r="AL10" s="769"/>
      <c r="AM10" s="754"/>
      <c r="AN10" s="767"/>
      <c r="AO10" s="770"/>
      <c r="AP10" s="767"/>
      <c r="AQ10" s="767"/>
      <c r="AR10" s="769"/>
    </row>
    <row r="11" spans="1:45" x14ac:dyDescent="0.2">
      <c r="A11" s="748"/>
      <c r="B11" s="749"/>
      <c r="C11" s="749"/>
      <c r="D11" s="749"/>
      <c r="E11" s="750"/>
      <c r="G11" s="646"/>
      <c r="H11" s="647"/>
      <c r="I11" s="647"/>
      <c r="J11" s="648"/>
      <c r="K11" s="646"/>
      <c r="L11" s="647"/>
      <c r="M11" s="647"/>
      <c r="N11" s="648"/>
      <c r="W11" s="779"/>
      <c r="X11" s="767"/>
      <c r="Y11" s="770"/>
      <c r="Z11" s="767"/>
      <c r="AA11" s="767"/>
      <c r="AB11" s="767"/>
      <c r="AC11" s="767"/>
      <c r="AD11" s="770"/>
      <c r="AE11" s="767"/>
      <c r="AF11" s="767"/>
      <c r="AG11" s="769"/>
      <c r="AH11" s="767"/>
      <c r="AI11" s="770"/>
      <c r="AJ11" s="767"/>
      <c r="AK11" s="767"/>
      <c r="AL11" s="769"/>
      <c r="AM11" s="754"/>
      <c r="AN11" s="767"/>
      <c r="AO11" s="770"/>
      <c r="AP11" s="767"/>
      <c r="AQ11" s="767"/>
      <c r="AR11" s="769"/>
    </row>
    <row r="12" spans="1:45" x14ac:dyDescent="0.2">
      <c r="A12" s="748"/>
      <c r="B12" s="749"/>
      <c r="C12" s="749"/>
      <c r="D12" s="749"/>
      <c r="E12" s="750"/>
      <c r="G12" s="646"/>
      <c r="H12" s="647"/>
      <c r="I12" s="647"/>
      <c r="J12" s="648"/>
      <c r="K12" s="646"/>
      <c r="L12" s="647"/>
      <c r="M12" s="647"/>
      <c r="N12" s="648"/>
      <c r="W12" s="779"/>
      <c r="X12" s="767"/>
      <c r="Y12" s="770"/>
      <c r="Z12" s="767"/>
      <c r="AA12" s="767"/>
      <c r="AB12" s="767"/>
      <c r="AC12" s="767"/>
      <c r="AD12" s="770"/>
      <c r="AE12" s="767"/>
      <c r="AF12" s="767"/>
      <c r="AG12" s="769"/>
      <c r="AH12" s="767"/>
      <c r="AI12" s="770"/>
      <c r="AJ12" s="767"/>
      <c r="AK12" s="767"/>
      <c r="AL12" s="769"/>
      <c r="AM12" s="754"/>
      <c r="AN12" s="767"/>
      <c r="AO12" s="770"/>
      <c r="AP12" s="767"/>
      <c r="AQ12" s="767"/>
      <c r="AR12" s="769"/>
    </row>
    <row r="13" spans="1:45" ht="17.25" customHeight="1" x14ac:dyDescent="0.2">
      <c r="A13" s="751"/>
      <c r="B13" s="752"/>
      <c r="C13" s="752"/>
      <c r="D13" s="752"/>
      <c r="E13" s="753"/>
      <c r="G13" s="649"/>
      <c r="H13" s="650"/>
      <c r="I13" s="650"/>
      <c r="J13" s="651"/>
      <c r="K13" s="649"/>
      <c r="L13" s="650"/>
      <c r="M13" s="650"/>
      <c r="N13" s="651"/>
      <c r="W13" s="779"/>
      <c r="X13" s="767"/>
      <c r="Y13" s="770"/>
      <c r="Z13" s="767"/>
      <c r="AA13" s="767"/>
      <c r="AB13" s="767"/>
      <c r="AC13" s="767"/>
      <c r="AD13" s="770"/>
      <c r="AE13" s="767"/>
      <c r="AF13" s="767"/>
      <c r="AG13" s="769"/>
      <c r="AH13" s="767"/>
      <c r="AI13" s="770"/>
      <c r="AJ13" s="767"/>
      <c r="AK13" s="767"/>
      <c r="AL13" s="769"/>
      <c r="AM13" s="754"/>
      <c r="AN13" s="767"/>
      <c r="AO13" s="770"/>
      <c r="AP13" s="767"/>
      <c r="AQ13" s="767"/>
      <c r="AR13" s="769"/>
    </row>
    <row r="14" spans="1:45" ht="17.25" customHeight="1" x14ac:dyDescent="0.2">
      <c r="W14" s="779"/>
      <c r="X14" s="767"/>
      <c r="Y14" s="770"/>
      <c r="Z14" s="767"/>
      <c r="AA14" s="767"/>
      <c r="AB14" s="767"/>
      <c r="AC14" s="767"/>
      <c r="AD14" s="770"/>
      <c r="AE14" s="767"/>
      <c r="AF14" s="767"/>
      <c r="AG14" s="769"/>
      <c r="AH14" s="767"/>
      <c r="AI14" s="770"/>
      <c r="AJ14" s="767"/>
      <c r="AK14" s="767"/>
      <c r="AL14" s="769"/>
      <c r="AM14" s="754"/>
      <c r="AN14" s="767"/>
      <c r="AO14" s="770"/>
      <c r="AP14" s="767"/>
      <c r="AQ14" s="767"/>
      <c r="AR14" s="769"/>
    </row>
    <row r="15" spans="1:45" ht="17.25" customHeight="1" x14ac:dyDescent="0.2">
      <c r="A15" s="9" t="s">
        <v>28</v>
      </c>
      <c r="B15" s="780" t="s">
        <v>56</v>
      </c>
      <c r="C15" s="780"/>
      <c r="D15" s="780"/>
      <c r="E15" s="780" t="s">
        <v>29</v>
      </c>
      <c r="F15" s="780"/>
      <c r="G15" s="780"/>
      <c r="H15" s="780" t="s">
        <v>30</v>
      </c>
      <c r="I15" s="780"/>
      <c r="J15" s="780"/>
      <c r="K15" s="780"/>
      <c r="L15" s="780" t="s">
        <v>134</v>
      </c>
      <c r="M15" s="780"/>
      <c r="N15" s="126"/>
      <c r="Q15" s="785" t="s">
        <v>186</v>
      </c>
      <c r="R15" s="785"/>
      <c r="S15" s="785"/>
      <c r="T15" s="785"/>
      <c r="U15" s="785"/>
      <c r="V15" s="776" t="s">
        <v>288</v>
      </c>
      <c r="W15" s="779"/>
      <c r="X15" s="767"/>
      <c r="Y15" s="770"/>
      <c r="Z15" s="767"/>
      <c r="AA15" s="767"/>
      <c r="AB15" s="767"/>
      <c r="AC15" s="767"/>
      <c r="AD15" s="770"/>
      <c r="AE15" s="767"/>
      <c r="AF15" s="767"/>
      <c r="AG15" s="769"/>
      <c r="AH15" s="767"/>
      <c r="AI15" s="770"/>
      <c r="AJ15" s="767"/>
      <c r="AK15" s="767"/>
      <c r="AL15" s="769"/>
      <c r="AM15" s="754"/>
      <c r="AN15" s="767"/>
      <c r="AO15" s="770"/>
      <c r="AP15" s="767"/>
      <c r="AQ15" s="767"/>
      <c r="AR15" s="769"/>
      <c r="AS15" s="771" t="s">
        <v>664</v>
      </c>
    </row>
    <row r="16" spans="1:45" ht="18" customHeight="1" x14ac:dyDescent="0.2">
      <c r="A16" s="122" t="s">
        <v>104</v>
      </c>
      <c r="B16" s="780"/>
      <c r="C16" s="780"/>
      <c r="D16" s="780"/>
      <c r="E16" s="780"/>
      <c r="F16" s="780"/>
      <c r="G16" s="780"/>
      <c r="H16" s="786" t="s">
        <v>96</v>
      </c>
      <c r="I16" s="786"/>
      <c r="J16" s="786"/>
      <c r="K16" s="786"/>
      <c r="L16" s="127" t="s">
        <v>136</v>
      </c>
      <c r="M16" s="123" t="s">
        <v>135</v>
      </c>
      <c r="N16" s="279" t="s">
        <v>31</v>
      </c>
      <c r="O16" s="478">
        <f ca="1">COUNTIF(O18:O58,"disallow")</f>
        <v>0</v>
      </c>
      <c r="P16" s="73"/>
      <c r="Q16" s="419" t="s">
        <v>286</v>
      </c>
      <c r="R16" s="781" t="s">
        <v>287</v>
      </c>
      <c r="S16" s="781"/>
      <c r="T16" s="781"/>
      <c r="U16" s="781"/>
      <c r="V16" s="777"/>
      <c r="W16" s="779"/>
      <c r="X16" s="767"/>
      <c r="Y16" s="770"/>
      <c r="Z16" s="767"/>
      <c r="AA16" s="767"/>
      <c r="AB16" s="767"/>
      <c r="AC16" s="767"/>
      <c r="AD16" s="770"/>
      <c r="AE16" s="767"/>
      <c r="AF16" s="767"/>
      <c r="AG16" s="769"/>
      <c r="AH16" s="767"/>
      <c r="AI16" s="770"/>
      <c r="AJ16" s="767"/>
      <c r="AK16" s="767"/>
      <c r="AL16" s="769"/>
      <c r="AM16" s="754"/>
      <c r="AN16" s="767"/>
      <c r="AO16" s="770"/>
      <c r="AP16" s="767"/>
      <c r="AQ16" s="767"/>
      <c r="AR16" s="769"/>
      <c r="AS16" s="772"/>
    </row>
    <row r="17" spans="1:45" ht="15" hidden="1" customHeight="1" x14ac:dyDescent="0.2">
      <c r="A17" s="77"/>
      <c r="B17" s="782"/>
      <c r="C17" s="783"/>
      <c r="D17" s="783"/>
      <c r="E17" s="784"/>
      <c r="F17" s="784"/>
      <c r="G17" s="784"/>
      <c r="H17" s="784"/>
      <c r="I17" s="784"/>
      <c r="J17" s="784"/>
      <c r="K17" s="784"/>
      <c r="L17" s="97"/>
      <c r="M17" s="97"/>
      <c r="N17" s="78"/>
      <c r="O17" s="67" t="str">
        <f>IF(N17&gt;=75,"*"," ")</f>
        <v xml:space="preserve"> </v>
      </c>
      <c r="P17" s="67"/>
      <c r="Q17" s="420"/>
      <c r="R17" s="420"/>
      <c r="S17" s="420"/>
      <c r="T17" s="420"/>
      <c r="U17" s="420"/>
      <c r="V17" s="421"/>
      <c r="W17" s="403">
        <f>IF(O17="*",N17,0)</f>
        <v>0</v>
      </c>
      <c r="X17" s="404"/>
      <c r="Y17" s="404"/>
      <c r="Z17" s="405">
        <f>IF(N17&gt;500,N17,0)</f>
        <v>0</v>
      </c>
      <c r="AA17" s="189"/>
      <c r="AB17" s="189"/>
      <c r="AC17" s="395"/>
      <c r="AD17" s="406"/>
      <c r="AE17" s="189"/>
      <c r="AF17" s="189"/>
      <c r="AG17" s="407"/>
      <c r="AH17" s="395"/>
      <c r="AI17" s="406"/>
      <c r="AJ17" s="189"/>
      <c r="AK17" s="189"/>
      <c r="AL17" s="407"/>
      <c r="AM17" s="402"/>
      <c r="AN17" s="395"/>
      <c r="AO17" s="406"/>
      <c r="AP17" s="189"/>
      <c r="AQ17" s="189"/>
      <c r="AR17" s="407"/>
      <c r="AS17" s="397"/>
    </row>
    <row r="18" spans="1:45" x14ac:dyDescent="0.2">
      <c r="A18" s="494"/>
      <c r="B18" s="686"/>
      <c r="C18" s="687"/>
      <c r="D18" s="687"/>
      <c r="E18" s="686"/>
      <c r="F18" s="687"/>
      <c r="G18" s="687"/>
      <c r="H18" s="686"/>
      <c r="I18" s="687"/>
      <c r="J18" s="687"/>
      <c r="K18" s="687"/>
      <c r="L18" s="496"/>
      <c r="M18" s="480"/>
      <c r="N18" s="497"/>
      <c r="O18" s="164" t="str">
        <f t="shared" ref="O18:O51" ca="1" si="0">IF(A18&gt;0,IF(submit_date&gt;0,IF(submit_date-A18&gt;60,"disallow",IF(N18&gt;=75,IF(AND(P18="",TODAY()-submit_date&gt;30),"disallow","*")," ")),IF(TODAY()-A18&gt;60,"disallow",IF(N18&gt;=75,IF(AND(P18="",TODAY()-submit_date&gt;30),"disallow","*")," "))),IF(N18&gt;=75,IF(AND(P18="",TODAY()-submit_date&gt;30),"disallow","*"),""))</f>
        <v/>
      </c>
      <c r="P18" s="161"/>
      <c r="Q18" s="422"/>
      <c r="R18" s="765"/>
      <c r="S18" s="765"/>
      <c r="T18" s="765"/>
      <c r="U18" s="765"/>
      <c r="V18" s="423"/>
      <c r="W18" s="395" t="str">
        <f ca="1">IF(AND(N18&gt;=75,O18&lt;&gt;"disallow"),1," ")</f>
        <v xml:space="preserve"> </v>
      </c>
      <c r="X18" s="189">
        <f t="shared" ref="X18:X23" si="1">IF(M18=0,IF(AND(N18&gt;=1000,N18&lt;2500),N18,0),0)</f>
        <v>0</v>
      </c>
      <c r="Y18" s="408">
        <f t="shared" ref="Y18:Y23" si="2">IF(AND(M18&gt;=1000,M18&lt;2500,L18&gt;0),N18,0)</f>
        <v>0</v>
      </c>
      <c r="Z18" s="405">
        <f>IF(AND(M18=0,N18&gt;=2500),N18,0)</f>
        <v>0</v>
      </c>
      <c r="AA18" s="189">
        <f>IF(AND(M18&gt;=2500,L18&gt;0),N18,0)</f>
        <v>0</v>
      </c>
      <c r="AB18" s="189">
        <f>IF(AND(Z18=0,AA18=0,X18=0,Y18=0),N18,0)</f>
        <v>0</v>
      </c>
      <c r="AC18" s="395">
        <f ca="1">IF(AND($O18="disallow",AM18=0),X18,0)</f>
        <v>0</v>
      </c>
      <c r="AD18" s="395">
        <f ca="1">IF(AND($O18="disallow",AM18=0),Y18,0)</f>
        <v>0</v>
      </c>
      <c r="AE18" s="189">
        <f ca="1">IF(AND($O18="disallow",AM18=0),Z18,0)</f>
        <v>0</v>
      </c>
      <c r="AF18" s="189">
        <f ca="1">IF(AND($O18="disallow",AM18=0),AA18,0)</f>
        <v>0</v>
      </c>
      <c r="AG18" s="407">
        <f ca="1">IF(AND($O18="disallow",AM18=0),AB18,0)</f>
        <v>0</v>
      </c>
      <c r="AH18" s="395">
        <f ca="1">IF(AND(Q18&gt;0,AC18=0,X18&gt;0),V18,0)</f>
        <v>0</v>
      </c>
      <c r="AI18" s="395">
        <f ca="1">IF(AND(Q18&gt;0,AD18=0,Y18&gt;0),V18,0)</f>
        <v>0</v>
      </c>
      <c r="AJ18" s="189">
        <f ca="1">IF(AND(Q18&gt;0,AE18=0,Z18&gt;0),V18,0)</f>
        <v>0</v>
      </c>
      <c r="AK18" s="189">
        <f ca="1">IF(AND(Q18&gt;0,AF18=0,AA18&gt;0),$V18,0)</f>
        <v>0</v>
      </c>
      <c r="AL18" s="407">
        <f ca="1">IF(AND(Q18&gt;0,AG18=0,AB18&gt;0),$V18,0)</f>
        <v>0</v>
      </c>
      <c r="AM18" s="409"/>
      <c r="AN18" s="395">
        <f>IF(AND($AM18&gt;0,X18&gt;0),-SUM(AC18+AH18),0)</f>
        <v>0</v>
      </c>
      <c r="AO18" s="395">
        <f>IF(AND($AM18&gt;0,Y18&gt;0),-SUM(AD18+AI18),0)</f>
        <v>0</v>
      </c>
      <c r="AP18" s="395">
        <f>IF(AND($AM18&gt;0,Z18&gt;0),-SUM(AE18+AJ18),0)</f>
        <v>0</v>
      </c>
      <c r="AQ18" s="395">
        <f>IF(AND($AM18&gt;0,AA18&gt;0),-SUM(AF18+AK18),0)</f>
        <v>0</v>
      </c>
      <c r="AR18" s="395">
        <f>IF(AND($AM18&gt;0,AB18&gt;0),-SUM(AG18+AL18),0)</f>
        <v>0</v>
      </c>
      <c r="AS18" s="397">
        <f t="shared" ref="AS18:AS51" si="3">IF(AND(A18&lt;Fiscal_Start_Date,submit_date-B18&lt;90,submit_date&gt;=0),N18,0)</f>
        <v>0</v>
      </c>
    </row>
    <row r="19" spans="1:45" x14ac:dyDescent="0.2">
      <c r="A19" s="494"/>
      <c r="B19" s="686"/>
      <c r="C19" s="687"/>
      <c r="D19" s="687"/>
      <c r="E19" s="686"/>
      <c r="F19" s="687"/>
      <c r="G19" s="687"/>
      <c r="H19" s="686"/>
      <c r="I19" s="687"/>
      <c r="J19" s="687"/>
      <c r="K19" s="687"/>
      <c r="L19" s="496"/>
      <c r="M19" s="480"/>
      <c r="N19" s="497"/>
      <c r="O19" s="164" t="str">
        <f t="shared" ca="1" si="0"/>
        <v/>
      </c>
      <c r="P19" s="161"/>
      <c r="Q19" s="422"/>
      <c r="R19" s="765"/>
      <c r="S19" s="765"/>
      <c r="T19" s="765"/>
      <c r="U19" s="765"/>
      <c r="V19" s="423"/>
      <c r="W19" s="395" t="str">
        <f t="shared" ref="W19:W51" ca="1" si="4">IF(AND(N19&gt;=75,O19&lt;&gt;"disallow"),1," ")</f>
        <v xml:space="preserve"> </v>
      </c>
      <c r="X19" s="189">
        <f t="shared" si="1"/>
        <v>0</v>
      </c>
      <c r="Y19" s="408">
        <f t="shared" si="2"/>
        <v>0</v>
      </c>
      <c r="Z19" s="405">
        <f t="shared" ref="Z19:Z51" si="5">IF(AND(M19=0,N19&gt;=2500),N19,0)</f>
        <v>0</v>
      </c>
      <c r="AA19" s="189">
        <f t="shared" ref="AA19:AA51" si="6">IF(AND(M19&gt;=2500,L19&gt;0),N19,0)</f>
        <v>0</v>
      </c>
      <c r="AB19" s="189">
        <f t="shared" ref="AB19:AB51" si="7">IF(AND(Z19=0,AA19=0,X19=0,Y19=0),N19,0)</f>
        <v>0</v>
      </c>
      <c r="AC19" s="395">
        <f t="shared" ref="AC19:AC51" ca="1" si="8">IF(AND($O19="disallow",AM19=0),X19,0)</f>
        <v>0</v>
      </c>
      <c r="AD19" s="395">
        <f t="shared" ref="AD19:AD51" ca="1" si="9">IF(AND($O19="disallow",AM19=0),Y19,0)</f>
        <v>0</v>
      </c>
      <c r="AE19" s="189">
        <f t="shared" ref="AE19:AE51" ca="1" si="10">IF(AND($O19="disallow",AM19=0),Z19,0)</f>
        <v>0</v>
      </c>
      <c r="AF19" s="189">
        <f t="shared" ref="AF19:AF51" ca="1" si="11">IF(AND($O19="disallow",AM19=0),AA19,0)</f>
        <v>0</v>
      </c>
      <c r="AG19" s="407">
        <f t="shared" ref="AG19:AG52" ca="1" si="12">IF(AND($O19="disallow",AM19=0),AB19,0)</f>
        <v>0</v>
      </c>
      <c r="AH19" s="395">
        <f t="shared" ref="AH19:AH51" ca="1" si="13">IF(AND(Q19&gt;0,AC19=0,X19&gt;0),V19,0)</f>
        <v>0</v>
      </c>
      <c r="AI19" s="395">
        <f t="shared" ref="AI19:AI51" ca="1" si="14">IF(AND(Q19&gt;0,AD19=0,Y19&gt;0),V19,0)</f>
        <v>0</v>
      </c>
      <c r="AJ19" s="189">
        <f t="shared" ref="AJ19:AJ51" ca="1" si="15">IF(AND(Q19&gt;0,AE19=0,Z19&gt;0),V19,0)</f>
        <v>0</v>
      </c>
      <c r="AK19" s="189">
        <f t="shared" ref="AK19:AK51" ca="1" si="16">IF(AND(Q19&gt;0,AF19=0,AA19&gt;0),$V19,0)</f>
        <v>0</v>
      </c>
      <c r="AL19" s="407">
        <f t="shared" ref="AL19:AL51" ca="1" si="17">IF(AND(Q19&gt;0,AG19=0,AB19&gt;0),$V19,0)</f>
        <v>0</v>
      </c>
      <c r="AM19" s="409"/>
      <c r="AN19" s="395">
        <f t="shared" ref="AN19:AN51" si="18">IF(AND($AM19&gt;0,X19&gt;0),-SUM(AC19+AH19),0)</f>
        <v>0</v>
      </c>
      <c r="AO19" s="395">
        <f t="shared" ref="AO19:AO51" si="19">IF(AND($AM19&gt;0,Y19&gt;0),-SUM(AD19+AI19),0)</f>
        <v>0</v>
      </c>
      <c r="AP19" s="395">
        <f t="shared" ref="AP19:AP51" si="20">IF(AND($AM19&gt;0,Z19&gt;0),-SUM(AE19+AJ19),0)</f>
        <v>0</v>
      </c>
      <c r="AQ19" s="395">
        <f t="shared" ref="AQ19:AQ51" si="21">IF(AND($AM19&gt;0,AA19&gt;0),-SUM(AF19+AK19),0)</f>
        <v>0</v>
      </c>
      <c r="AR19" s="395">
        <f t="shared" ref="AR19:AR51" si="22">IF(AND($AM19&gt;0,AB19&gt;0),-SUM(AG19+AL19),0)</f>
        <v>0</v>
      </c>
      <c r="AS19" s="397">
        <f t="shared" si="3"/>
        <v>0</v>
      </c>
    </row>
    <row r="20" spans="1:45" x14ac:dyDescent="0.2">
      <c r="A20" s="494"/>
      <c r="B20" s="686"/>
      <c r="C20" s="687"/>
      <c r="D20" s="687"/>
      <c r="E20" s="686"/>
      <c r="F20" s="687"/>
      <c r="G20" s="687"/>
      <c r="H20" s="686"/>
      <c r="I20" s="687"/>
      <c r="J20" s="687"/>
      <c r="K20" s="687"/>
      <c r="L20" s="496"/>
      <c r="M20" s="480"/>
      <c r="N20" s="497"/>
      <c r="O20" s="164" t="str">
        <f t="shared" ca="1" si="0"/>
        <v/>
      </c>
      <c r="P20" s="161"/>
      <c r="Q20" s="422"/>
      <c r="R20" s="765"/>
      <c r="S20" s="765"/>
      <c r="T20" s="765"/>
      <c r="U20" s="765"/>
      <c r="V20" s="423"/>
      <c r="W20" s="395" t="str">
        <f t="shared" ca="1" si="4"/>
        <v xml:space="preserve"> </v>
      </c>
      <c r="X20" s="189">
        <f t="shared" si="1"/>
        <v>0</v>
      </c>
      <c r="Y20" s="408">
        <f t="shared" si="2"/>
        <v>0</v>
      </c>
      <c r="Z20" s="405">
        <f t="shared" si="5"/>
        <v>0</v>
      </c>
      <c r="AA20" s="189">
        <f t="shared" si="6"/>
        <v>0</v>
      </c>
      <c r="AB20" s="189">
        <f t="shared" si="7"/>
        <v>0</v>
      </c>
      <c r="AC20" s="395">
        <f t="shared" ca="1" si="8"/>
        <v>0</v>
      </c>
      <c r="AD20" s="395">
        <f t="shared" ca="1" si="9"/>
        <v>0</v>
      </c>
      <c r="AE20" s="189">
        <f t="shared" ca="1" si="10"/>
        <v>0</v>
      </c>
      <c r="AF20" s="189">
        <f t="shared" ca="1" si="11"/>
        <v>0</v>
      </c>
      <c r="AG20" s="407">
        <f t="shared" ca="1" si="12"/>
        <v>0</v>
      </c>
      <c r="AH20" s="395">
        <f t="shared" ca="1" si="13"/>
        <v>0</v>
      </c>
      <c r="AI20" s="395">
        <f t="shared" ca="1" si="14"/>
        <v>0</v>
      </c>
      <c r="AJ20" s="189">
        <f t="shared" ca="1" si="15"/>
        <v>0</v>
      </c>
      <c r="AK20" s="189">
        <f t="shared" ca="1" si="16"/>
        <v>0</v>
      </c>
      <c r="AL20" s="407">
        <f t="shared" ca="1" si="17"/>
        <v>0</v>
      </c>
      <c r="AM20" s="409"/>
      <c r="AN20" s="395">
        <f t="shared" si="18"/>
        <v>0</v>
      </c>
      <c r="AO20" s="395">
        <f t="shared" si="19"/>
        <v>0</v>
      </c>
      <c r="AP20" s="395">
        <f t="shared" si="20"/>
        <v>0</v>
      </c>
      <c r="AQ20" s="395">
        <f t="shared" si="21"/>
        <v>0</v>
      </c>
      <c r="AR20" s="395">
        <f t="shared" si="22"/>
        <v>0</v>
      </c>
      <c r="AS20" s="397">
        <f t="shared" si="3"/>
        <v>0</v>
      </c>
    </row>
    <row r="21" spans="1:45" x14ac:dyDescent="0.2">
      <c r="A21" s="494"/>
      <c r="B21" s="686"/>
      <c r="C21" s="687"/>
      <c r="D21" s="687"/>
      <c r="E21" s="686"/>
      <c r="F21" s="687"/>
      <c r="G21" s="687"/>
      <c r="H21" s="686"/>
      <c r="I21" s="687"/>
      <c r="J21" s="687"/>
      <c r="K21" s="687"/>
      <c r="L21" s="496"/>
      <c r="M21" s="480"/>
      <c r="N21" s="497"/>
      <c r="O21" s="164" t="str">
        <f t="shared" ca="1" si="0"/>
        <v/>
      </c>
      <c r="P21" s="161"/>
      <c r="Q21" s="422"/>
      <c r="R21" s="765"/>
      <c r="S21" s="765"/>
      <c r="T21" s="765"/>
      <c r="U21" s="765"/>
      <c r="V21" s="423"/>
      <c r="W21" s="395" t="str">
        <f t="shared" ca="1" si="4"/>
        <v xml:space="preserve"> </v>
      </c>
      <c r="X21" s="189">
        <f t="shared" si="1"/>
        <v>0</v>
      </c>
      <c r="Y21" s="408">
        <f t="shared" si="2"/>
        <v>0</v>
      </c>
      <c r="Z21" s="405">
        <f t="shared" si="5"/>
        <v>0</v>
      </c>
      <c r="AA21" s="189">
        <f t="shared" si="6"/>
        <v>0</v>
      </c>
      <c r="AB21" s="189">
        <f t="shared" si="7"/>
        <v>0</v>
      </c>
      <c r="AC21" s="395">
        <f t="shared" ca="1" si="8"/>
        <v>0</v>
      </c>
      <c r="AD21" s="395">
        <f t="shared" ca="1" si="9"/>
        <v>0</v>
      </c>
      <c r="AE21" s="189">
        <f t="shared" ca="1" si="10"/>
        <v>0</v>
      </c>
      <c r="AF21" s="189">
        <f t="shared" ca="1" si="11"/>
        <v>0</v>
      </c>
      <c r="AG21" s="407">
        <f t="shared" ca="1" si="12"/>
        <v>0</v>
      </c>
      <c r="AH21" s="395">
        <f t="shared" ca="1" si="13"/>
        <v>0</v>
      </c>
      <c r="AI21" s="395">
        <f t="shared" ca="1" si="14"/>
        <v>0</v>
      </c>
      <c r="AJ21" s="189">
        <f t="shared" ca="1" si="15"/>
        <v>0</v>
      </c>
      <c r="AK21" s="189">
        <f t="shared" ca="1" si="16"/>
        <v>0</v>
      </c>
      <c r="AL21" s="407">
        <f t="shared" ca="1" si="17"/>
        <v>0</v>
      </c>
      <c r="AM21" s="409"/>
      <c r="AN21" s="395">
        <f t="shared" si="18"/>
        <v>0</v>
      </c>
      <c r="AO21" s="395">
        <f t="shared" si="19"/>
        <v>0</v>
      </c>
      <c r="AP21" s="395">
        <f t="shared" si="20"/>
        <v>0</v>
      </c>
      <c r="AQ21" s="395">
        <f t="shared" si="21"/>
        <v>0</v>
      </c>
      <c r="AR21" s="395">
        <f t="shared" si="22"/>
        <v>0</v>
      </c>
      <c r="AS21" s="397">
        <f t="shared" si="3"/>
        <v>0</v>
      </c>
    </row>
    <row r="22" spans="1:45" x14ac:dyDescent="0.2">
      <c r="A22" s="494"/>
      <c r="B22" s="686"/>
      <c r="C22" s="687"/>
      <c r="D22" s="687"/>
      <c r="E22" s="686"/>
      <c r="F22" s="687"/>
      <c r="G22" s="687"/>
      <c r="H22" s="686"/>
      <c r="I22" s="687"/>
      <c r="J22" s="687"/>
      <c r="K22" s="687"/>
      <c r="L22" s="496"/>
      <c r="M22" s="480"/>
      <c r="N22" s="497"/>
      <c r="O22" s="164" t="str">
        <f t="shared" ca="1" si="0"/>
        <v/>
      </c>
      <c r="P22" s="161"/>
      <c r="Q22" s="422"/>
      <c r="R22" s="765"/>
      <c r="S22" s="765"/>
      <c r="T22" s="765"/>
      <c r="U22" s="765"/>
      <c r="V22" s="423"/>
      <c r="W22" s="395" t="str">
        <f t="shared" ca="1" si="4"/>
        <v xml:space="preserve"> </v>
      </c>
      <c r="X22" s="189">
        <f t="shared" si="1"/>
        <v>0</v>
      </c>
      <c r="Y22" s="408">
        <f t="shared" si="2"/>
        <v>0</v>
      </c>
      <c r="Z22" s="405">
        <f t="shared" si="5"/>
        <v>0</v>
      </c>
      <c r="AA22" s="189">
        <f t="shared" si="6"/>
        <v>0</v>
      </c>
      <c r="AB22" s="189">
        <f t="shared" si="7"/>
        <v>0</v>
      </c>
      <c r="AC22" s="395">
        <f t="shared" ca="1" si="8"/>
        <v>0</v>
      </c>
      <c r="AD22" s="395">
        <f t="shared" ca="1" si="9"/>
        <v>0</v>
      </c>
      <c r="AE22" s="189">
        <f t="shared" ca="1" si="10"/>
        <v>0</v>
      </c>
      <c r="AF22" s="189">
        <f t="shared" ca="1" si="11"/>
        <v>0</v>
      </c>
      <c r="AG22" s="407">
        <f t="shared" ca="1" si="12"/>
        <v>0</v>
      </c>
      <c r="AH22" s="395">
        <f t="shared" ca="1" si="13"/>
        <v>0</v>
      </c>
      <c r="AI22" s="395">
        <f t="shared" ca="1" si="14"/>
        <v>0</v>
      </c>
      <c r="AJ22" s="189">
        <f t="shared" ca="1" si="15"/>
        <v>0</v>
      </c>
      <c r="AK22" s="189">
        <f t="shared" ca="1" si="16"/>
        <v>0</v>
      </c>
      <c r="AL22" s="407">
        <f t="shared" ca="1" si="17"/>
        <v>0</v>
      </c>
      <c r="AM22" s="409"/>
      <c r="AN22" s="395">
        <f t="shared" si="18"/>
        <v>0</v>
      </c>
      <c r="AO22" s="395">
        <f t="shared" si="19"/>
        <v>0</v>
      </c>
      <c r="AP22" s="395">
        <f t="shared" si="20"/>
        <v>0</v>
      </c>
      <c r="AQ22" s="395">
        <f t="shared" si="21"/>
        <v>0</v>
      </c>
      <c r="AR22" s="395">
        <f t="shared" si="22"/>
        <v>0</v>
      </c>
      <c r="AS22" s="397">
        <f t="shared" si="3"/>
        <v>0</v>
      </c>
    </row>
    <row r="23" spans="1:45" x14ac:dyDescent="0.2">
      <c r="A23" s="494"/>
      <c r="B23" s="686"/>
      <c r="C23" s="687"/>
      <c r="D23" s="687"/>
      <c r="E23" s="686"/>
      <c r="F23" s="687"/>
      <c r="G23" s="687"/>
      <c r="H23" s="686"/>
      <c r="I23" s="687"/>
      <c r="J23" s="687"/>
      <c r="K23" s="687"/>
      <c r="L23" s="496"/>
      <c r="M23" s="480"/>
      <c r="N23" s="497"/>
      <c r="O23" s="164" t="str">
        <f t="shared" ca="1" si="0"/>
        <v/>
      </c>
      <c r="P23" s="161"/>
      <c r="Q23" s="422"/>
      <c r="R23" s="765"/>
      <c r="S23" s="765"/>
      <c r="T23" s="765"/>
      <c r="U23" s="765"/>
      <c r="V23" s="423"/>
      <c r="W23" s="395" t="str">
        <f t="shared" ca="1" si="4"/>
        <v xml:space="preserve"> </v>
      </c>
      <c r="X23" s="189">
        <f t="shared" si="1"/>
        <v>0</v>
      </c>
      <c r="Y23" s="408">
        <f t="shared" si="2"/>
        <v>0</v>
      </c>
      <c r="Z23" s="405">
        <f t="shared" si="5"/>
        <v>0</v>
      </c>
      <c r="AA23" s="189">
        <f t="shared" si="6"/>
        <v>0</v>
      </c>
      <c r="AB23" s="189">
        <f t="shared" si="7"/>
        <v>0</v>
      </c>
      <c r="AC23" s="395">
        <f t="shared" ca="1" si="8"/>
        <v>0</v>
      </c>
      <c r="AD23" s="395">
        <f t="shared" ca="1" si="9"/>
        <v>0</v>
      </c>
      <c r="AE23" s="189">
        <f t="shared" ca="1" si="10"/>
        <v>0</v>
      </c>
      <c r="AF23" s="189">
        <f t="shared" ca="1" si="11"/>
        <v>0</v>
      </c>
      <c r="AG23" s="407">
        <f t="shared" ca="1" si="12"/>
        <v>0</v>
      </c>
      <c r="AH23" s="395">
        <f t="shared" ca="1" si="13"/>
        <v>0</v>
      </c>
      <c r="AI23" s="395">
        <f t="shared" ca="1" si="14"/>
        <v>0</v>
      </c>
      <c r="AJ23" s="189">
        <f t="shared" ca="1" si="15"/>
        <v>0</v>
      </c>
      <c r="AK23" s="189">
        <f t="shared" ca="1" si="16"/>
        <v>0</v>
      </c>
      <c r="AL23" s="407">
        <f t="shared" ca="1" si="17"/>
        <v>0</v>
      </c>
      <c r="AM23" s="409"/>
      <c r="AN23" s="395">
        <f t="shared" si="18"/>
        <v>0</v>
      </c>
      <c r="AO23" s="395">
        <f t="shared" si="19"/>
        <v>0</v>
      </c>
      <c r="AP23" s="395">
        <f t="shared" si="20"/>
        <v>0</v>
      </c>
      <c r="AQ23" s="395">
        <f t="shared" si="21"/>
        <v>0</v>
      </c>
      <c r="AR23" s="395">
        <f t="shared" si="22"/>
        <v>0</v>
      </c>
      <c r="AS23" s="397">
        <f t="shared" si="3"/>
        <v>0</v>
      </c>
    </row>
    <row r="24" spans="1:45" x14ac:dyDescent="0.2">
      <c r="A24" s="494"/>
      <c r="B24" s="686"/>
      <c r="C24" s="687"/>
      <c r="D24" s="687"/>
      <c r="E24" s="686"/>
      <c r="F24" s="687"/>
      <c r="G24" s="687"/>
      <c r="H24" s="686"/>
      <c r="I24" s="687"/>
      <c r="J24" s="687"/>
      <c r="K24" s="687"/>
      <c r="L24" s="496"/>
      <c r="M24" s="480"/>
      <c r="N24" s="497"/>
      <c r="O24" s="164" t="str">
        <f t="shared" ca="1" si="0"/>
        <v/>
      </c>
      <c r="P24" s="161"/>
      <c r="Q24" s="422"/>
      <c r="R24" s="765"/>
      <c r="S24" s="765"/>
      <c r="T24" s="765"/>
      <c r="U24" s="765"/>
      <c r="V24" s="423"/>
      <c r="W24" s="395" t="str">
        <f t="shared" ca="1" si="4"/>
        <v xml:space="preserve"> </v>
      </c>
      <c r="X24" s="189">
        <f>IF(M24=0,IF(AND(N24&gt;=1000,N24&lt;2500),N24,0),0)</f>
        <v>0</v>
      </c>
      <c r="Y24" s="408">
        <f>IF(AND(M24&gt;=1000,M24&lt;2500,L24&gt;0),N24,0)</f>
        <v>0</v>
      </c>
      <c r="Z24" s="405">
        <f t="shared" si="5"/>
        <v>0</v>
      </c>
      <c r="AA24" s="189">
        <f t="shared" si="6"/>
        <v>0</v>
      </c>
      <c r="AB24" s="189">
        <f t="shared" si="7"/>
        <v>0</v>
      </c>
      <c r="AC24" s="395">
        <f t="shared" ca="1" si="8"/>
        <v>0</v>
      </c>
      <c r="AD24" s="395">
        <f t="shared" ca="1" si="9"/>
        <v>0</v>
      </c>
      <c r="AE24" s="189">
        <f t="shared" ca="1" si="10"/>
        <v>0</v>
      </c>
      <c r="AF24" s="189">
        <f t="shared" ca="1" si="11"/>
        <v>0</v>
      </c>
      <c r="AG24" s="407">
        <f t="shared" ca="1" si="12"/>
        <v>0</v>
      </c>
      <c r="AH24" s="395">
        <f t="shared" ca="1" si="13"/>
        <v>0</v>
      </c>
      <c r="AI24" s="395">
        <f t="shared" ca="1" si="14"/>
        <v>0</v>
      </c>
      <c r="AJ24" s="189">
        <f t="shared" ca="1" si="15"/>
        <v>0</v>
      </c>
      <c r="AK24" s="189">
        <f t="shared" ca="1" si="16"/>
        <v>0</v>
      </c>
      <c r="AL24" s="407">
        <f t="shared" ca="1" si="17"/>
        <v>0</v>
      </c>
      <c r="AM24" s="409"/>
      <c r="AN24" s="395">
        <f t="shared" si="18"/>
        <v>0</v>
      </c>
      <c r="AO24" s="395">
        <f t="shared" si="19"/>
        <v>0</v>
      </c>
      <c r="AP24" s="395">
        <f t="shared" si="20"/>
        <v>0</v>
      </c>
      <c r="AQ24" s="395">
        <f t="shared" si="21"/>
        <v>0</v>
      </c>
      <c r="AR24" s="395">
        <f t="shared" si="22"/>
        <v>0</v>
      </c>
      <c r="AS24" s="397">
        <f t="shared" si="3"/>
        <v>0</v>
      </c>
    </row>
    <row r="25" spans="1:45" x14ac:dyDescent="0.2">
      <c r="A25" s="494"/>
      <c r="B25" s="686"/>
      <c r="C25" s="687"/>
      <c r="D25" s="687"/>
      <c r="E25" s="686"/>
      <c r="F25" s="687"/>
      <c r="G25" s="687"/>
      <c r="H25" s="686"/>
      <c r="I25" s="687"/>
      <c r="J25" s="687"/>
      <c r="K25" s="687"/>
      <c r="L25" s="496"/>
      <c r="M25" s="480"/>
      <c r="N25" s="497"/>
      <c r="O25" s="164" t="str">
        <f t="shared" ca="1" si="0"/>
        <v/>
      </c>
      <c r="P25" s="161"/>
      <c r="Q25" s="424"/>
      <c r="R25" s="765"/>
      <c r="S25" s="765"/>
      <c r="T25" s="765"/>
      <c r="U25" s="765"/>
      <c r="V25" s="423"/>
      <c r="W25" s="395" t="str">
        <f t="shared" ca="1" si="4"/>
        <v xml:space="preserve"> </v>
      </c>
      <c r="X25" s="189">
        <f t="shared" ref="X25:X51" si="23">IF(M25=0,IF(AND(N25&gt;=1000,N25&lt;2500),N25,0),0)</f>
        <v>0</v>
      </c>
      <c r="Y25" s="408">
        <f t="shared" ref="Y25:Y51" si="24">IF(AND(M25&gt;=1000,M25&lt;2500,L25&gt;0),N25,0)</f>
        <v>0</v>
      </c>
      <c r="Z25" s="405">
        <f t="shared" si="5"/>
        <v>0</v>
      </c>
      <c r="AA25" s="189">
        <f t="shared" si="6"/>
        <v>0</v>
      </c>
      <c r="AB25" s="189">
        <f t="shared" si="7"/>
        <v>0</v>
      </c>
      <c r="AC25" s="395">
        <f t="shared" ca="1" si="8"/>
        <v>0</v>
      </c>
      <c r="AD25" s="395">
        <f t="shared" ca="1" si="9"/>
        <v>0</v>
      </c>
      <c r="AE25" s="189">
        <f t="shared" ca="1" si="10"/>
        <v>0</v>
      </c>
      <c r="AF25" s="189">
        <f t="shared" ca="1" si="11"/>
        <v>0</v>
      </c>
      <c r="AG25" s="407">
        <f t="shared" ca="1" si="12"/>
        <v>0</v>
      </c>
      <c r="AH25" s="395">
        <f t="shared" ca="1" si="13"/>
        <v>0</v>
      </c>
      <c r="AI25" s="395">
        <f t="shared" ca="1" si="14"/>
        <v>0</v>
      </c>
      <c r="AJ25" s="189">
        <f t="shared" ca="1" si="15"/>
        <v>0</v>
      </c>
      <c r="AK25" s="189">
        <f t="shared" ca="1" si="16"/>
        <v>0</v>
      </c>
      <c r="AL25" s="407">
        <f t="shared" ca="1" si="17"/>
        <v>0</v>
      </c>
      <c r="AM25" s="409"/>
      <c r="AN25" s="395">
        <f t="shared" si="18"/>
        <v>0</v>
      </c>
      <c r="AO25" s="395">
        <f t="shared" si="19"/>
        <v>0</v>
      </c>
      <c r="AP25" s="395">
        <f t="shared" si="20"/>
        <v>0</v>
      </c>
      <c r="AQ25" s="395">
        <f t="shared" si="21"/>
        <v>0</v>
      </c>
      <c r="AR25" s="395">
        <f t="shared" si="22"/>
        <v>0</v>
      </c>
      <c r="AS25" s="397">
        <f t="shared" si="3"/>
        <v>0</v>
      </c>
    </row>
    <row r="26" spans="1:45" x14ac:dyDescent="0.2">
      <c r="A26" s="494"/>
      <c r="B26" s="686"/>
      <c r="C26" s="687"/>
      <c r="D26" s="687"/>
      <c r="E26" s="686"/>
      <c r="F26" s="687"/>
      <c r="G26" s="687"/>
      <c r="H26" s="686"/>
      <c r="I26" s="687"/>
      <c r="J26" s="687"/>
      <c r="K26" s="687"/>
      <c r="L26" s="496"/>
      <c r="M26" s="480"/>
      <c r="N26" s="497"/>
      <c r="O26" s="164" t="str">
        <f t="shared" ref="O26:O30" ca="1" si="25">IF(A26&gt;0,IF(submit_date&gt;0,IF(submit_date-A26&gt;60,"disallow",IF(N26&gt;=75,IF(AND(P26="",TODAY()-submit_date&gt;30),"disallow","*")," ")),IF(TODAY()-A26&gt;60,"disallow",IF(N26&gt;=75,IF(AND(P26="",TODAY()-submit_date&gt;30),"disallow","*")," "))),IF(N26&gt;=75,IF(AND(P26="",TODAY()-submit_date&gt;30),"disallow","*"),""))</f>
        <v/>
      </c>
      <c r="P26" s="161"/>
      <c r="Q26" s="422"/>
      <c r="R26" s="765"/>
      <c r="S26" s="765"/>
      <c r="T26" s="765"/>
      <c r="U26" s="765"/>
      <c r="V26" s="423"/>
      <c r="W26" s="395" t="str">
        <f t="shared" ref="W26:W30" ca="1" si="26">IF(AND(N26&gt;=75,O26&lt;&gt;"disallow"),1," ")</f>
        <v xml:space="preserve"> </v>
      </c>
      <c r="X26" s="189">
        <f t="shared" si="23"/>
        <v>0</v>
      </c>
      <c r="Y26" s="408">
        <f t="shared" si="24"/>
        <v>0</v>
      </c>
      <c r="Z26" s="405">
        <f t="shared" si="5"/>
        <v>0</v>
      </c>
      <c r="AA26" s="189">
        <f t="shared" si="6"/>
        <v>0</v>
      </c>
      <c r="AB26" s="189">
        <f t="shared" si="7"/>
        <v>0</v>
      </c>
      <c r="AC26" s="395">
        <f t="shared" ca="1" si="8"/>
        <v>0</v>
      </c>
      <c r="AD26" s="395">
        <f t="shared" ca="1" si="9"/>
        <v>0</v>
      </c>
      <c r="AE26" s="189">
        <f t="shared" ca="1" si="10"/>
        <v>0</v>
      </c>
      <c r="AF26" s="189">
        <f t="shared" ca="1" si="11"/>
        <v>0</v>
      </c>
      <c r="AG26" s="407">
        <f t="shared" ca="1" si="12"/>
        <v>0</v>
      </c>
      <c r="AH26" s="395">
        <f t="shared" ca="1" si="13"/>
        <v>0</v>
      </c>
      <c r="AI26" s="395">
        <f t="shared" ca="1" si="14"/>
        <v>0</v>
      </c>
      <c r="AJ26" s="189">
        <f t="shared" ca="1" si="15"/>
        <v>0</v>
      </c>
      <c r="AK26" s="189">
        <f t="shared" ca="1" si="16"/>
        <v>0</v>
      </c>
      <c r="AL26" s="407">
        <f t="shared" ca="1" si="17"/>
        <v>0</v>
      </c>
      <c r="AM26" s="409"/>
      <c r="AN26" s="395">
        <f t="shared" si="18"/>
        <v>0</v>
      </c>
      <c r="AO26" s="395">
        <f t="shared" si="19"/>
        <v>0</v>
      </c>
      <c r="AP26" s="395">
        <f t="shared" si="20"/>
        <v>0</v>
      </c>
      <c r="AQ26" s="395">
        <f t="shared" si="21"/>
        <v>0</v>
      </c>
      <c r="AR26" s="395">
        <f t="shared" si="22"/>
        <v>0</v>
      </c>
      <c r="AS26" s="397">
        <f t="shared" si="3"/>
        <v>0</v>
      </c>
    </row>
    <row r="27" spans="1:45" x14ac:dyDescent="0.2">
      <c r="A27" s="494"/>
      <c r="B27" s="686"/>
      <c r="C27" s="687"/>
      <c r="D27" s="687"/>
      <c r="E27" s="686"/>
      <c r="F27" s="687"/>
      <c r="G27" s="687"/>
      <c r="H27" s="686"/>
      <c r="I27" s="687"/>
      <c r="J27" s="687"/>
      <c r="K27" s="687"/>
      <c r="L27" s="496"/>
      <c r="M27" s="480"/>
      <c r="N27" s="497"/>
      <c r="O27" s="164" t="str">
        <f t="shared" ca="1" si="25"/>
        <v/>
      </c>
      <c r="P27" s="161"/>
      <c r="Q27" s="422"/>
      <c r="R27" s="765"/>
      <c r="S27" s="765"/>
      <c r="T27" s="765"/>
      <c r="U27" s="765"/>
      <c r="V27" s="423"/>
      <c r="W27" s="395" t="str">
        <f t="shared" ca="1" si="26"/>
        <v xml:space="preserve"> </v>
      </c>
      <c r="X27" s="189">
        <f t="shared" si="23"/>
        <v>0</v>
      </c>
      <c r="Y27" s="408">
        <f t="shared" si="24"/>
        <v>0</v>
      </c>
      <c r="Z27" s="405">
        <f t="shared" si="5"/>
        <v>0</v>
      </c>
      <c r="AA27" s="189">
        <f t="shared" si="6"/>
        <v>0</v>
      </c>
      <c r="AB27" s="189">
        <f t="shared" si="7"/>
        <v>0</v>
      </c>
      <c r="AC27" s="395">
        <f t="shared" ca="1" si="8"/>
        <v>0</v>
      </c>
      <c r="AD27" s="395">
        <f t="shared" ca="1" si="9"/>
        <v>0</v>
      </c>
      <c r="AE27" s="189">
        <f t="shared" ca="1" si="10"/>
        <v>0</v>
      </c>
      <c r="AF27" s="189">
        <f t="shared" ca="1" si="11"/>
        <v>0</v>
      </c>
      <c r="AG27" s="407">
        <f t="shared" ca="1" si="12"/>
        <v>0</v>
      </c>
      <c r="AH27" s="395">
        <f t="shared" ca="1" si="13"/>
        <v>0</v>
      </c>
      <c r="AI27" s="395">
        <f t="shared" ca="1" si="14"/>
        <v>0</v>
      </c>
      <c r="AJ27" s="189">
        <f t="shared" ca="1" si="15"/>
        <v>0</v>
      </c>
      <c r="AK27" s="189">
        <f t="shared" ca="1" si="16"/>
        <v>0</v>
      </c>
      <c r="AL27" s="407">
        <f t="shared" ca="1" si="17"/>
        <v>0</v>
      </c>
      <c r="AM27" s="409"/>
      <c r="AN27" s="395">
        <f t="shared" si="18"/>
        <v>0</v>
      </c>
      <c r="AO27" s="395">
        <f t="shared" si="19"/>
        <v>0</v>
      </c>
      <c r="AP27" s="395">
        <f t="shared" si="20"/>
        <v>0</v>
      </c>
      <c r="AQ27" s="395">
        <f t="shared" si="21"/>
        <v>0</v>
      </c>
      <c r="AR27" s="395">
        <f t="shared" si="22"/>
        <v>0</v>
      </c>
      <c r="AS27" s="397">
        <f t="shared" si="3"/>
        <v>0</v>
      </c>
    </row>
    <row r="28" spans="1:45" x14ac:dyDescent="0.2">
      <c r="A28" s="494"/>
      <c r="B28" s="686"/>
      <c r="C28" s="687"/>
      <c r="D28" s="687"/>
      <c r="E28" s="686"/>
      <c r="F28" s="687"/>
      <c r="G28" s="687"/>
      <c r="H28" s="686"/>
      <c r="I28" s="687"/>
      <c r="J28" s="687"/>
      <c r="K28" s="687"/>
      <c r="L28" s="496"/>
      <c r="M28" s="480"/>
      <c r="N28" s="497"/>
      <c r="O28" s="164" t="str">
        <f t="shared" ca="1" si="25"/>
        <v/>
      </c>
      <c r="P28" s="161"/>
      <c r="Q28" s="422"/>
      <c r="R28" s="765"/>
      <c r="S28" s="765"/>
      <c r="T28" s="765"/>
      <c r="U28" s="765"/>
      <c r="V28" s="423"/>
      <c r="W28" s="395" t="str">
        <f t="shared" ca="1" si="26"/>
        <v xml:space="preserve"> </v>
      </c>
      <c r="X28" s="189">
        <f t="shared" si="23"/>
        <v>0</v>
      </c>
      <c r="Y28" s="408">
        <f t="shared" si="24"/>
        <v>0</v>
      </c>
      <c r="Z28" s="405">
        <f t="shared" si="5"/>
        <v>0</v>
      </c>
      <c r="AA28" s="189">
        <f t="shared" si="6"/>
        <v>0</v>
      </c>
      <c r="AB28" s="189">
        <f t="shared" si="7"/>
        <v>0</v>
      </c>
      <c r="AC28" s="395">
        <f t="shared" ca="1" si="8"/>
        <v>0</v>
      </c>
      <c r="AD28" s="395">
        <f t="shared" ca="1" si="9"/>
        <v>0</v>
      </c>
      <c r="AE28" s="189">
        <f t="shared" ca="1" si="10"/>
        <v>0</v>
      </c>
      <c r="AF28" s="189">
        <f t="shared" ca="1" si="11"/>
        <v>0</v>
      </c>
      <c r="AG28" s="407">
        <f t="shared" ca="1" si="12"/>
        <v>0</v>
      </c>
      <c r="AH28" s="395">
        <f t="shared" ca="1" si="13"/>
        <v>0</v>
      </c>
      <c r="AI28" s="395">
        <f t="shared" ca="1" si="14"/>
        <v>0</v>
      </c>
      <c r="AJ28" s="189">
        <f t="shared" ca="1" si="15"/>
        <v>0</v>
      </c>
      <c r="AK28" s="189">
        <f t="shared" ca="1" si="16"/>
        <v>0</v>
      </c>
      <c r="AL28" s="407">
        <f t="shared" ca="1" si="17"/>
        <v>0</v>
      </c>
      <c r="AM28" s="409"/>
      <c r="AN28" s="395">
        <f t="shared" si="18"/>
        <v>0</v>
      </c>
      <c r="AO28" s="395">
        <f t="shared" si="19"/>
        <v>0</v>
      </c>
      <c r="AP28" s="395">
        <f t="shared" si="20"/>
        <v>0</v>
      </c>
      <c r="AQ28" s="395">
        <f t="shared" si="21"/>
        <v>0</v>
      </c>
      <c r="AR28" s="395">
        <f t="shared" si="22"/>
        <v>0</v>
      </c>
      <c r="AS28" s="397">
        <f t="shared" si="3"/>
        <v>0</v>
      </c>
    </row>
    <row r="29" spans="1:45" x14ac:dyDescent="0.2">
      <c r="A29" s="494"/>
      <c r="B29" s="686"/>
      <c r="C29" s="687"/>
      <c r="D29" s="687"/>
      <c r="E29" s="686"/>
      <c r="F29" s="687"/>
      <c r="G29" s="687"/>
      <c r="H29" s="686"/>
      <c r="I29" s="687"/>
      <c r="J29" s="687"/>
      <c r="K29" s="687"/>
      <c r="L29" s="496"/>
      <c r="M29" s="480"/>
      <c r="N29" s="497"/>
      <c r="O29" s="164" t="str">
        <f t="shared" ca="1" si="25"/>
        <v/>
      </c>
      <c r="P29" s="161"/>
      <c r="Q29" s="422"/>
      <c r="R29" s="765"/>
      <c r="S29" s="765"/>
      <c r="T29" s="765"/>
      <c r="U29" s="765"/>
      <c r="V29" s="423"/>
      <c r="W29" s="395" t="str">
        <f t="shared" ca="1" si="26"/>
        <v xml:space="preserve"> </v>
      </c>
      <c r="X29" s="189">
        <f t="shared" si="23"/>
        <v>0</v>
      </c>
      <c r="Y29" s="408">
        <f t="shared" si="24"/>
        <v>0</v>
      </c>
      <c r="Z29" s="405">
        <f t="shared" si="5"/>
        <v>0</v>
      </c>
      <c r="AA29" s="189">
        <f t="shared" si="6"/>
        <v>0</v>
      </c>
      <c r="AB29" s="189">
        <f t="shared" si="7"/>
        <v>0</v>
      </c>
      <c r="AC29" s="395">
        <f t="shared" ca="1" si="8"/>
        <v>0</v>
      </c>
      <c r="AD29" s="395">
        <f t="shared" ca="1" si="9"/>
        <v>0</v>
      </c>
      <c r="AE29" s="189">
        <f t="shared" ca="1" si="10"/>
        <v>0</v>
      </c>
      <c r="AF29" s="189">
        <f t="shared" ca="1" si="11"/>
        <v>0</v>
      </c>
      <c r="AG29" s="407">
        <f t="shared" ca="1" si="12"/>
        <v>0</v>
      </c>
      <c r="AH29" s="395">
        <f t="shared" ca="1" si="13"/>
        <v>0</v>
      </c>
      <c r="AI29" s="395">
        <f t="shared" ca="1" si="14"/>
        <v>0</v>
      </c>
      <c r="AJ29" s="189">
        <f t="shared" ca="1" si="15"/>
        <v>0</v>
      </c>
      <c r="AK29" s="189">
        <f t="shared" ca="1" si="16"/>
        <v>0</v>
      </c>
      <c r="AL29" s="407">
        <f t="shared" ca="1" si="17"/>
        <v>0</v>
      </c>
      <c r="AM29" s="409"/>
      <c r="AN29" s="395">
        <f t="shared" si="18"/>
        <v>0</v>
      </c>
      <c r="AO29" s="395">
        <f t="shared" si="19"/>
        <v>0</v>
      </c>
      <c r="AP29" s="395">
        <f t="shared" si="20"/>
        <v>0</v>
      </c>
      <c r="AQ29" s="395">
        <f t="shared" si="21"/>
        <v>0</v>
      </c>
      <c r="AR29" s="395">
        <f t="shared" si="22"/>
        <v>0</v>
      </c>
      <c r="AS29" s="397">
        <f t="shared" si="3"/>
        <v>0</v>
      </c>
    </row>
    <row r="30" spans="1:45" x14ac:dyDescent="0.2">
      <c r="A30" s="494"/>
      <c r="B30" s="686"/>
      <c r="C30" s="687"/>
      <c r="D30" s="687"/>
      <c r="E30" s="686"/>
      <c r="F30" s="687"/>
      <c r="G30" s="687"/>
      <c r="H30" s="686"/>
      <c r="I30" s="687"/>
      <c r="J30" s="687"/>
      <c r="K30" s="687"/>
      <c r="L30" s="496"/>
      <c r="M30" s="480"/>
      <c r="N30" s="497"/>
      <c r="O30" s="164" t="str">
        <f t="shared" ca="1" si="25"/>
        <v/>
      </c>
      <c r="P30" s="161"/>
      <c r="Q30" s="424"/>
      <c r="R30" s="765"/>
      <c r="S30" s="765"/>
      <c r="T30" s="765"/>
      <c r="U30" s="765"/>
      <c r="V30" s="423"/>
      <c r="W30" s="395" t="str">
        <f t="shared" ca="1" si="26"/>
        <v xml:space="preserve"> </v>
      </c>
      <c r="X30" s="189">
        <f t="shared" si="23"/>
        <v>0</v>
      </c>
      <c r="Y30" s="408">
        <f t="shared" si="24"/>
        <v>0</v>
      </c>
      <c r="Z30" s="405">
        <f t="shared" si="5"/>
        <v>0</v>
      </c>
      <c r="AA30" s="189">
        <f t="shared" si="6"/>
        <v>0</v>
      </c>
      <c r="AB30" s="189">
        <f t="shared" si="7"/>
        <v>0</v>
      </c>
      <c r="AC30" s="395">
        <f t="shared" ca="1" si="8"/>
        <v>0</v>
      </c>
      <c r="AD30" s="395">
        <f t="shared" ca="1" si="9"/>
        <v>0</v>
      </c>
      <c r="AE30" s="189">
        <f t="shared" ca="1" si="10"/>
        <v>0</v>
      </c>
      <c r="AF30" s="189">
        <f t="shared" ca="1" si="11"/>
        <v>0</v>
      </c>
      <c r="AG30" s="407">
        <f t="shared" ca="1" si="12"/>
        <v>0</v>
      </c>
      <c r="AH30" s="395">
        <f t="shared" ca="1" si="13"/>
        <v>0</v>
      </c>
      <c r="AI30" s="395">
        <f t="shared" ca="1" si="14"/>
        <v>0</v>
      </c>
      <c r="AJ30" s="189">
        <f t="shared" ca="1" si="15"/>
        <v>0</v>
      </c>
      <c r="AK30" s="189">
        <f t="shared" ca="1" si="16"/>
        <v>0</v>
      </c>
      <c r="AL30" s="407">
        <f t="shared" ca="1" si="17"/>
        <v>0</v>
      </c>
      <c r="AM30" s="409"/>
      <c r="AN30" s="395">
        <f t="shared" si="18"/>
        <v>0</v>
      </c>
      <c r="AO30" s="395">
        <f t="shared" si="19"/>
        <v>0</v>
      </c>
      <c r="AP30" s="395">
        <f t="shared" si="20"/>
        <v>0</v>
      </c>
      <c r="AQ30" s="395">
        <f t="shared" si="21"/>
        <v>0</v>
      </c>
      <c r="AR30" s="395">
        <f t="shared" si="22"/>
        <v>0</v>
      </c>
      <c r="AS30" s="397">
        <f t="shared" si="3"/>
        <v>0</v>
      </c>
    </row>
    <row r="31" spans="1:45" x14ac:dyDescent="0.2">
      <c r="A31" s="494"/>
      <c r="B31" s="686"/>
      <c r="C31" s="687"/>
      <c r="D31" s="687"/>
      <c r="E31" s="686"/>
      <c r="F31" s="687"/>
      <c r="G31" s="687"/>
      <c r="H31" s="686"/>
      <c r="I31" s="687"/>
      <c r="J31" s="687"/>
      <c r="K31" s="687"/>
      <c r="L31" s="496"/>
      <c r="M31" s="480"/>
      <c r="N31" s="497"/>
      <c r="O31" s="164" t="str">
        <f t="shared" ca="1" si="0"/>
        <v/>
      </c>
      <c r="P31" s="161"/>
      <c r="Q31" s="422"/>
      <c r="R31" s="765"/>
      <c r="S31" s="765"/>
      <c r="T31" s="765"/>
      <c r="U31" s="765"/>
      <c r="V31" s="423"/>
      <c r="W31" s="395" t="str">
        <f t="shared" ca="1" si="4"/>
        <v xml:space="preserve"> </v>
      </c>
      <c r="X31" s="189">
        <f t="shared" si="23"/>
        <v>0</v>
      </c>
      <c r="Y31" s="408">
        <f t="shared" si="24"/>
        <v>0</v>
      </c>
      <c r="Z31" s="405">
        <f t="shared" si="5"/>
        <v>0</v>
      </c>
      <c r="AA31" s="189">
        <f t="shared" si="6"/>
        <v>0</v>
      </c>
      <c r="AB31" s="189">
        <f t="shared" si="7"/>
        <v>0</v>
      </c>
      <c r="AC31" s="395">
        <f t="shared" ca="1" si="8"/>
        <v>0</v>
      </c>
      <c r="AD31" s="395">
        <f t="shared" ca="1" si="9"/>
        <v>0</v>
      </c>
      <c r="AE31" s="189">
        <f t="shared" ca="1" si="10"/>
        <v>0</v>
      </c>
      <c r="AF31" s="189">
        <f t="shared" ca="1" si="11"/>
        <v>0</v>
      </c>
      <c r="AG31" s="407">
        <f t="shared" ca="1" si="12"/>
        <v>0</v>
      </c>
      <c r="AH31" s="395">
        <f t="shared" ca="1" si="13"/>
        <v>0</v>
      </c>
      <c r="AI31" s="395">
        <f t="shared" ca="1" si="14"/>
        <v>0</v>
      </c>
      <c r="AJ31" s="189">
        <f t="shared" ca="1" si="15"/>
        <v>0</v>
      </c>
      <c r="AK31" s="189">
        <f t="shared" ca="1" si="16"/>
        <v>0</v>
      </c>
      <c r="AL31" s="407">
        <f t="shared" ca="1" si="17"/>
        <v>0</v>
      </c>
      <c r="AM31" s="409"/>
      <c r="AN31" s="395">
        <f t="shared" si="18"/>
        <v>0</v>
      </c>
      <c r="AO31" s="395">
        <f t="shared" si="19"/>
        <v>0</v>
      </c>
      <c r="AP31" s="395">
        <f t="shared" si="20"/>
        <v>0</v>
      </c>
      <c r="AQ31" s="395">
        <f t="shared" si="21"/>
        <v>0</v>
      </c>
      <c r="AR31" s="395">
        <f t="shared" si="22"/>
        <v>0</v>
      </c>
      <c r="AS31" s="397">
        <f t="shared" si="3"/>
        <v>0</v>
      </c>
    </row>
    <row r="32" spans="1:45" x14ac:dyDescent="0.2">
      <c r="A32" s="494"/>
      <c r="B32" s="686"/>
      <c r="C32" s="687"/>
      <c r="D32" s="687"/>
      <c r="E32" s="686"/>
      <c r="F32" s="687"/>
      <c r="G32" s="687"/>
      <c r="H32" s="686"/>
      <c r="I32" s="687"/>
      <c r="J32" s="687"/>
      <c r="K32" s="687"/>
      <c r="L32" s="496"/>
      <c r="M32" s="480"/>
      <c r="N32" s="497"/>
      <c r="O32" s="164" t="str">
        <f t="shared" ca="1" si="0"/>
        <v/>
      </c>
      <c r="P32" s="161"/>
      <c r="Q32" s="422"/>
      <c r="R32" s="765"/>
      <c r="S32" s="765"/>
      <c r="T32" s="765"/>
      <c r="U32" s="765"/>
      <c r="V32" s="423"/>
      <c r="W32" s="395" t="str">
        <f t="shared" ca="1" si="4"/>
        <v xml:space="preserve"> </v>
      </c>
      <c r="X32" s="189">
        <f t="shared" si="23"/>
        <v>0</v>
      </c>
      <c r="Y32" s="408">
        <f t="shared" si="24"/>
        <v>0</v>
      </c>
      <c r="Z32" s="405">
        <f t="shared" si="5"/>
        <v>0</v>
      </c>
      <c r="AA32" s="189">
        <f t="shared" si="6"/>
        <v>0</v>
      </c>
      <c r="AB32" s="189">
        <f t="shared" si="7"/>
        <v>0</v>
      </c>
      <c r="AC32" s="395">
        <f t="shared" ca="1" si="8"/>
        <v>0</v>
      </c>
      <c r="AD32" s="395">
        <f t="shared" ca="1" si="9"/>
        <v>0</v>
      </c>
      <c r="AE32" s="189">
        <f t="shared" ca="1" si="10"/>
        <v>0</v>
      </c>
      <c r="AF32" s="189">
        <f t="shared" ca="1" si="11"/>
        <v>0</v>
      </c>
      <c r="AG32" s="407">
        <f t="shared" ca="1" si="12"/>
        <v>0</v>
      </c>
      <c r="AH32" s="395">
        <f t="shared" ca="1" si="13"/>
        <v>0</v>
      </c>
      <c r="AI32" s="395">
        <f t="shared" ca="1" si="14"/>
        <v>0</v>
      </c>
      <c r="AJ32" s="189">
        <f t="shared" ca="1" si="15"/>
        <v>0</v>
      </c>
      <c r="AK32" s="189">
        <f t="shared" ca="1" si="16"/>
        <v>0</v>
      </c>
      <c r="AL32" s="407">
        <f t="shared" ca="1" si="17"/>
        <v>0</v>
      </c>
      <c r="AM32" s="409"/>
      <c r="AN32" s="395">
        <f t="shared" si="18"/>
        <v>0</v>
      </c>
      <c r="AO32" s="395">
        <f t="shared" si="19"/>
        <v>0</v>
      </c>
      <c r="AP32" s="395">
        <f t="shared" si="20"/>
        <v>0</v>
      </c>
      <c r="AQ32" s="395">
        <f t="shared" si="21"/>
        <v>0</v>
      </c>
      <c r="AR32" s="395">
        <f t="shared" si="22"/>
        <v>0</v>
      </c>
      <c r="AS32" s="397">
        <f t="shared" si="3"/>
        <v>0</v>
      </c>
    </row>
    <row r="33" spans="1:45" x14ac:dyDescent="0.2">
      <c r="A33" s="494"/>
      <c r="B33" s="686"/>
      <c r="C33" s="687"/>
      <c r="D33" s="687"/>
      <c r="E33" s="686"/>
      <c r="F33" s="687"/>
      <c r="G33" s="687"/>
      <c r="H33" s="686"/>
      <c r="I33" s="687"/>
      <c r="J33" s="687"/>
      <c r="K33" s="687"/>
      <c r="L33" s="496"/>
      <c r="M33" s="480"/>
      <c r="N33" s="497"/>
      <c r="O33" s="164" t="str">
        <f t="shared" ca="1" si="0"/>
        <v/>
      </c>
      <c r="P33" s="161"/>
      <c r="Q33" s="422"/>
      <c r="R33" s="765"/>
      <c r="S33" s="765"/>
      <c r="T33" s="765"/>
      <c r="U33" s="765"/>
      <c r="V33" s="423"/>
      <c r="W33" s="395" t="str">
        <f t="shared" ca="1" si="4"/>
        <v xml:space="preserve"> </v>
      </c>
      <c r="X33" s="189">
        <f t="shared" si="23"/>
        <v>0</v>
      </c>
      <c r="Y33" s="408">
        <f t="shared" si="24"/>
        <v>0</v>
      </c>
      <c r="Z33" s="405">
        <f t="shared" si="5"/>
        <v>0</v>
      </c>
      <c r="AA33" s="189">
        <f t="shared" si="6"/>
        <v>0</v>
      </c>
      <c r="AB33" s="189">
        <f t="shared" si="7"/>
        <v>0</v>
      </c>
      <c r="AC33" s="395">
        <f t="shared" ca="1" si="8"/>
        <v>0</v>
      </c>
      <c r="AD33" s="395">
        <f t="shared" ca="1" si="9"/>
        <v>0</v>
      </c>
      <c r="AE33" s="189">
        <f t="shared" ca="1" si="10"/>
        <v>0</v>
      </c>
      <c r="AF33" s="189">
        <f t="shared" ca="1" si="11"/>
        <v>0</v>
      </c>
      <c r="AG33" s="407">
        <f t="shared" ca="1" si="12"/>
        <v>0</v>
      </c>
      <c r="AH33" s="395">
        <f t="shared" ca="1" si="13"/>
        <v>0</v>
      </c>
      <c r="AI33" s="395">
        <f t="shared" ca="1" si="14"/>
        <v>0</v>
      </c>
      <c r="AJ33" s="189">
        <f t="shared" ca="1" si="15"/>
        <v>0</v>
      </c>
      <c r="AK33" s="189">
        <f t="shared" ca="1" si="16"/>
        <v>0</v>
      </c>
      <c r="AL33" s="407">
        <f t="shared" ca="1" si="17"/>
        <v>0</v>
      </c>
      <c r="AM33" s="409"/>
      <c r="AN33" s="395">
        <f t="shared" si="18"/>
        <v>0</v>
      </c>
      <c r="AO33" s="395">
        <f t="shared" si="19"/>
        <v>0</v>
      </c>
      <c r="AP33" s="395">
        <f t="shared" si="20"/>
        <v>0</v>
      </c>
      <c r="AQ33" s="395">
        <f t="shared" si="21"/>
        <v>0</v>
      </c>
      <c r="AR33" s="395">
        <f t="shared" si="22"/>
        <v>0</v>
      </c>
      <c r="AS33" s="397">
        <f t="shared" si="3"/>
        <v>0</v>
      </c>
    </row>
    <row r="34" spans="1:45" x14ac:dyDescent="0.2">
      <c r="A34" s="494"/>
      <c r="B34" s="686"/>
      <c r="C34" s="687"/>
      <c r="D34" s="687"/>
      <c r="E34" s="686"/>
      <c r="F34" s="687"/>
      <c r="G34" s="687"/>
      <c r="H34" s="686"/>
      <c r="I34" s="687"/>
      <c r="J34" s="687"/>
      <c r="K34" s="687"/>
      <c r="L34" s="496"/>
      <c r="M34" s="480"/>
      <c r="N34" s="497"/>
      <c r="O34" s="164" t="str">
        <f t="shared" ca="1" si="0"/>
        <v/>
      </c>
      <c r="P34" s="161"/>
      <c r="Q34" s="422"/>
      <c r="R34" s="765"/>
      <c r="S34" s="765"/>
      <c r="T34" s="765"/>
      <c r="U34" s="765"/>
      <c r="V34" s="423"/>
      <c r="W34" s="395" t="str">
        <f t="shared" ca="1" si="4"/>
        <v xml:space="preserve"> </v>
      </c>
      <c r="X34" s="189">
        <f t="shared" si="23"/>
        <v>0</v>
      </c>
      <c r="Y34" s="408">
        <f t="shared" si="24"/>
        <v>0</v>
      </c>
      <c r="Z34" s="405">
        <f t="shared" si="5"/>
        <v>0</v>
      </c>
      <c r="AA34" s="189">
        <f t="shared" si="6"/>
        <v>0</v>
      </c>
      <c r="AB34" s="189">
        <f t="shared" si="7"/>
        <v>0</v>
      </c>
      <c r="AC34" s="395">
        <f t="shared" ca="1" si="8"/>
        <v>0</v>
      </c>
      <c r="AD34" s="395">
        <f t="shared" ca="1" si="9"/>
        <v>0</v>
      </c>
      <c r="AE34" s="189">
        <f t="shared" ca="1" si="10"/>
        <v>0</v>
      </c>
      <c r="AF34" s="189">
        <f t="shared" ca="1" si="11"/>
        <v>0</v>
      </c>
      <c r="AG34" s="407">
        <f t="shared" ca="1" si="12"/>
        <v>0</v>
      </c>
      <c r="AH34" s="395">
        <f t="shared" ca="1" si="13"/>
        <v>0</v>
      </c>
      <c r="AI34" s="395">
        <f t="shared" ca="1" si="14"/>
        <v>0</v>
      </c>
      <c r="AJ34" s="189">
        <f t="shared" ca="1" si="15"/>
        <v>0</v>
      </c>
      <c r="AK34" s="189">
        <f t="shared" ca="1" si="16"/>
        <v>0</v>
      </c>
      <c r="AL34" s="407">
        <f t="shared" ca="1" si="17"/>
        <v>0</v>
      </c>
      <c r="AM34" s="409"/>
      <c r="AN34" s="395">
        <f t="shared" si="18"/>
        <v>0</v>
      </c>
      <c r="AO34" s="395">
        <f t="shared" si="19"/>
        <v>0</v>
      </c>
      <c r="AP34" s="395">
        <f t="shared" si="20"/>
        <v>0</v>
      </c>
      <c r="AQ34" s="395">
        <f t="shared" si="21"/>
        <v>0</v>
      </c>
      <c r="AR34" s="395">
        <f t="shared" si="22"/>
        <v>0</v>
      </c>
      <c r="AS34" s="397">
        <f t="shared" si="3"/>
        <v>0</v>
      </c>
    </row>
    <row r="35" spans="1:45" x14ac:dyDescent="0.2">
      <c r="A35" s="494"/>
      <c r="B35" s="686"/>
      <c r="C35" s="687"/>
      <c r="D35" s="687"/>
      <c r="E35" s="686"/>
      <c r="F35" s="687"/>
      <c r="G35" s="687"/>
      <c r="H35" s="686"/>
      <c r="I35" s="687"/>
      <c r="J35" s="687"/>
      <c r="K35" s="687"/>
      <c r="L35" s="496"/>
      <c r="M35" s="480"/>
      <c r="N35" s="497"/>
      <c r="O35" s="164" t="str">
        <f t="shared" ca="1" si="0"/>
        <v/>
      </c>
      <c r="P35" s="161"/>
      <c r="Q35" s="424"/>
      <c r="R35" s="765"/>
      <c r="S35" s="765"/>
      <c r="T35" s="765"/>
      <c r="U35" s="765"/>
      <c r="V35" s="423"/>
      <c r="W35" s="395" t="str">
        <f t="shared" ca="1" si="4"/>
        <v xml:space="preserve"> </v>
      </c>
      <c r="X35" s="189">
        <f t="shared" si="23"/>
        <v>0</v>
      </c>
      <c r="Y35" s="408">
        <f t="shared" si="24"/>
        <v>0</v>
      </c>
      <c r="Z35" s="405">
        <f t="shared" si="5"/>
        <v>0</v>
      </c>
      <c r="AA35" s="189">
        <f t="shared" si="6"/>
        <v>0</v>
      </c>
      <c r="AB35" s="189">
        <f t="shared" si="7"/>
        <v>0</v>
      </c>
      <c r="AC35" s="395">
        <f t="shared" ca="1" si="8"/>
        <v>0</v>
      </c>
      <c r="AD35" s="395">
        <f t="shared" ca="1" si="9"/>
        <v>0</v>
      </c>
      <c r="AE35" s="189">
        <f t="shared" ca="1" si="10"/>
        <v>0</v>
      </c>
      <c r="AF35" s="189">
        <f t="shared" ca="1" si="11"/>
        <v>0</v>
      </c>
      <c r="AG35" s="407">
        <f t="shared" ca="1" si="12"/>
        <v>0</v>
      </c>
      <c r="AH35" s="395">
        <f t="shared" ca="1" si="13"/>
        <v>0</v>
      </c>
      <c r="AI35" s="395">
        <f t="shared" ca="1" si="14"/>
        <v>0</v>
      </c>
      <c r="AJ35" s="189">
        <f t="shared" ca="1" si="15"/>
        <v>0</v>
      </c>
      <c r="AK35" s="189">
        <f t="shared" ca="1" si="16"/>
        <v>0</v>
      </c>
      <c r="AL35" s="407">
        <f t="shared" ca="1" si="17"/>
        <v>0</v>
      </c>
      <c r="AM35" s="409"/>
      <c r="AN35" s="395">
        <f t="shared" si="18"/>
        <v>0</v>
      </c>
      <c r="AO35" s="395">
        <f t="shared" si="19"/>
        <v>0</v>
      </c>
      <c r="AP35" s="395">
        <f t="shared" si="20"/>
        <v>0</v>
      </c>
      <c r="AQ35" s="395">
        <f t="shared" si="21"/>
        <v>0</v>
      </c>
      <c r="AR35" s="395">
        <f t="shared" si="22"/>
        <v>0</v>
      </c>
      <c r="AS35" s="397">
        <f t="shared" si="3"/>
        <v>0</v>
      </c>
    </row>
    <row r="36" spans="1:45" x14ac:dyDescent="0.2">
      <c r="A36" s="494"/>
      <c r="B36" s="686"/>
      <c r="C36" s="687"/>
      <c r="D36" s="687"/>
      <c r="E36" s="686"/>
      <c r="F36" s="687"/>
      <c r="G36" s="687"/>
      <c r="H36" s="686"/>
      <c r="I36" s="687"/>
      <c r="J36" s="687"/>
      <c r="K36" s="687"/>
      <c r="L36" s="496"/>
      <c r="M36" s="480"/>
      <c r="N36" s="497"/>
      <c r="O36" s="164" t="str">
        <f t="shared" ca="1" si="0"/>
        <v/>
      </c>
      <c r="P36" s="161"/>
      <c r="Q36" s="422"/>
      <c r="R36" s="765"/>
      <c r="S36" s="765"/>
      <c r="T36" s="765"/>
      <c r="U36" s="765"/>
      <c r="V36" s="423"/>
      <c r="W36" s="395" t="str">
        <f t="shared" ca="1" si="4"/>
        <v xml:space="preserve"> </v>
      </c>
      <c r="X36" s="189">
        <f t="shared" si="23"/>
        <v>0</v>
      </c>
      <c r="Y36" s="408">
        <f t="shared" si="24"/>
        <v>0</v>
      </c>
      <c r="Z36" s="405">
        <f t="shared" si="5"/>
        <v>0</v>
      </c>
      <c r="AA36" s="189">
        <f t="shared" si="6"/>
        <v>0</v>
      </c>
      <c r="AB36" s="189">
        <f t="shared" si="7"/>
        <v>0</v>
      </c>
      <c r="AC36" s="395">
        <f t="shared" ca="1" si="8"/>
        <v>0</v>
      </c>
      <c r="AD36" s="395">
        <f t="shared" ca="1" si="9"/>
        <v>0</v>
      </c>
      <c r="AE36" s="189">
        <f t="shared" ca="1" si="10"/>
        <v>0</v>
      </c>
      <c r="AF36" s="189">
        <f t="shared" ca="1" si="11"/>
        <v>0</v>
      </c>
      <c r="AG36" s="407">
        <f t="shared" ca="1" si="12"/>
        <v>0</v>
      </c>
      <c r="AH36" s="395">
        <f t="shared" ca="1" si="13"/>
        <v>0</v>
      </c>
      <c r="AI36" s="395">
        <f t="shared" ca="1" si="14"/>
        <v>0</v>
      </c>
      <c r="AJ36" s="189">
        <f t="shared" ca="1" si="15"/>
        <v>0</v>
      </c>
      <c r="AK36" s="189">
        <f t="shared" ca="1" si="16"/>
        <v>0</v>
      </c>
      <c r="AL36" s="407">
        <f t="shared" ca="1" si="17"/>
        <v>0</v>
      </c>
      <c r="AM36" s="409"/>
      <c r="AN36" s="395">
        <f t="shared" si="18"/>
        <v>0</v>
      </c>
      <c r="AO36" s="395">
        <f t="shared" si="19"/>
        <v>0</v>
      </c>
      <c r="AP36" s="395">
        <f t="shared" si="20"/>
        <v>0</v>
      </c>
      <c r="AQ36" s="395">
        <f t="shared" si="21"/>
        <v>0</v>
      </c>
      <c r="AR36" s="395">
        <f t="shared" si="22"/>
        <v>0</v>
      </c>
      <c r="AS36" s="397">
        <f t="shared" si="3"/>
        <v>0</v>
      </c>
    </row>
    <row r="37" spans="1:45" x14ac:dyDescent="0.2">
      <c r="A37" s="494"/>
      <c r="B37" s="686"/>
      <c r="C37" s="687"/>
      <c r="D37" s="687"/>
      <c r="E37" s="686"/>
      <c r="F37" s="687"/>
      <c r="G37" s="687"/>
      <c r="H37" s="686"/>
      <c r="I37" s="687"/>
      <c r="J37" s="687"/>
      <c r="K37" s="687"/>
      <c r="L37" s="496"/>
      <c r="M37" s="480"/>
      <c r="N37" s="497"/>
      <c r="O37" s="164" t="str">
        <f t="shared" ca="1" si="0"/>
        <v/>
      </c>
      <c r="P37" s="161"/>
      <c r="Q37" s="422"/>
      <c r="R37" s="765"/>
      <c r="S37" s="765"/>
      <c r="T37" s="765"/>
      <c r="U37" s="765"/>
      <c r="V37" s="423"/>
      <c r="W37" s="395" t="str">
        <f t="shared" ca="1" si="4"/>
        <v xml:space="preserve"> </v>
      </c>
      <c r="X37" s="189">
        <f t="shared" si="23"/>
        <v>0</v>
      </c>
      <c r="Y37" s="408">
        <f t="shared" si="24"/>
        <v>0</v>
      </c>
      <c r="Z37" s="405">
        <f t="shared" si="5"/>
        <v>0</v>
      </c>
      <c r="AA37" s="189">
        <f t="shared" si="6"/>
        <v>0</v>
      </c>
      <c r="AB37" s="189">
        <f t="shared" si="7"/>
        <v>0</v>
      </c>
      <c r="AC37" s="395">
        <f t="shared" ca="1" si="8"/>
        <v>0</v>
      </c>
      <c r="AD37" s="395">
        <f t="shared" ca="1" si="9"/>
        <v>0</v>
      </c>
      <c r="AE37" s="189">
        <f t="shared" ca="1" si="10"/>
        <v>0</v>
      </c>
      <c r="AF37" s="189">
        <f t="shared" ca="1" si="11"/>
        <v>0</v>
      </c>
      <c r="AG37" s="407">
        <f t="shared" ca="1" si="12"/>
        <v>0</v>
      </c>
      <c r="AH37" s="395">
        <f t="shared" ca="1" si="13"/>
        <v>0</v>
      </c>
      <c r="AI37" s="395">
        <f t="shared" ca="1" si="14"/>
        <v>0</v>
      </c>
      <c r="AJ37" s="189">
        <f t="shared" ca="1" si="15"/>
        <v>0</v>
      </c>
      <c r="AK37" s="189">
        <f t="shared" ca="1" si="16"/>
        <v>0</v>
      </c>
      <c r="AL37" s="407">
        <f t="shared" ca="1" si="17"/>
        <v>0</v>
      </c>
      <c r="AM37" s="409"/>
      <c r="AN37" s="395">
        <f t="shared" si="18"/>
        <v>0</v>
      </c>
      <c r="AO37" s="395">
        <f t="shared" si="19"/>
        <v>0</v>
      </c>
      <c r="AP37" s="395">
        <f t="shared" si="20"/>
        <v>0</v>
      </c>
      <c r="AQ37" s="395">
        <f t="shared" si="21"/>
        <v>0</v>
      </c>
      <c r="AR37" s="395">
        <f t="shared" si="22"/>
        <v>0</v>
      </c>
      <c r="AS37" s="397">
        <f t="shared" si="3"/>
        <v>0</v>
      </c>
    </row>
    <row r="38" spans="1:45" x14ac:dyDescent="0.2">
      <c r="A38" s="494"/>
      <c r="B38" s="686"/>
      <c r="C38" s="687"/>
      <c r="D38" s="687"/>
      <c r="E38" s="686"/>
      <c r="F38" s="687"/>
      <c r="G38" s="687"/>
      <c r="H38" s="686"/>
      <c r="I38" s="687"/>
      <c r="J38" s="687"/>
      <c r="K38" s="687"/>
      <c r="L38" s="496"/>
      <c r="M38" s="480"/>
      <c r="N38" s="497"/>
      <c r="O38" s="164" t="str">
        <f t="shared" ca="1" si="0"/>
        <v/>
      </c>
      <c r="P38" s="161"/>
      <c r="Q38" s="422"/>
      <c r="R38" s="765"/>
      <c r="S38" s="765"/>
      <c r="T38" s="765"/>
      <c r="U38" s="765"/>
      <c r="V38" s="423"/>
      <c r="W38" s="395" t="str">
        <f t="shared" ca="1" si="4"/>
        <v xml:space="preserve"> </v>
      </c>
      <c r="X38" s="189">
        <f t="shared" si="23"/>
        <v>0</v>
      </c>
      <c r="Y38" s="408">
        <f t="shared" si="24"/>
        <v>0</v>
      </c>
      <c r="Z38" s="405">
        <f t="shared" si="5"/>
        <v>0</v>
      </c>
      <c r="AA38" s="189">
        <f t="shared" si="6"/>
        <v>0</v>
      </c>
      <c r="AB38" s="189">
        <f t="shared" si="7"/>
        <v>0</v>
      </c>
      <c r="AC38" s="395">
        <f t="shared" ca="1" si="8"/>
        <v>0</v>
      </c>
      <c r="AD38" s="395">
        <f t="shared" ca="1" si="9"/>
        <v>0</v>
      </c>
      <c r="AE38" s="189">
        <f t="shared" ca="1" si="10"/>
        <v>0</v>
      </c>
      <c r="AF38" s="189">
        <f t="shared" ca="1" si="11"/>
        <v>0</v>
      </c>
      <c r="AG38" s="407">
        <f t="shared" ca="1" si="12"/>
        <v>0</v>
      </c>
      <c r="AH38" s="395">
        <f t="shared" ca="1" si="13"/>
        <v>0</v>
      </c>
      <c r="AI38" s="395">
        <f t="shared" ca="1" si="14"/>
        <v>0</v>
      </c>
      <c r="AJ38" s="189">
        <f t="shared" ca="1" si="15"/>
        <v>0</v>
      </c>
      <c r="AK38" s="189">
        <f t="shared" ca="1" si="16"/>
        <v>0</v>
      </c>
      <c r="AL38" s="407">
        <f t="shared" ca="1" si="17"/>
        <v>0</v>
      </c>
      <c r="AM38" s="409"/>
      <c r="AN38" s="395">
        <f t="shared" si="18"/>
        <v>0</v>
      </c>
      <c r="AO38" s="395">
        <f t="shared" si="19"/>
        <v>0</v>
      </c>
      <c r="AP38" s="395">
        <f t="shared" si="20"/>
        <v>0</v>
      </c>
      <c r="AQ38" s="395">
        <f t="shared" si="21"/>
        <v>0</v>
      </c>
      <c r="AR38" s="395">
        <f t="shared" si="22"/>
        <v>0</v>
      </c>
      <c r="AS38" s="397">
        <f t="shared" si="3"/>
        <v>0</v>
      </c>
    </row>
    <row r="39" spans="1:45" x14ac:dyDescent="0.2">
      <c r="A39" s="494"/>
      <c r="B39" s="686"/>
      <c r="C39" s="687"/>
      <c r="D39" s="687"/>
      <c r="E39" s="686"/>
      <c r="F39" s="687"/>
      <c r="G39" s="687"/>
      <c r="H39" s="686"/>
      <c r="I39" s="687"/>
      <c r="J39" s="687"/>
      <c r="K39" s="687"/>
      <c r="L39" s="496"/>
      <c r="M39" s="480"/>
      <c r="N39" s="497"/>
      <c r="O39" s="164" t="str">
        <f t="shared" ca="1" si="0"/>
        <v/>
      </c>
      <c r="P39" s="161"/>
      <c r="Q39" s="422"/>
      <c r="R39" s="765"/>
      <c r="S39" s="765"/>
      <c r="T39" s="765"/>
      <c r="U39" s="765"/>
      <c r="V39" s="423"/>
      <c r="W39" s="395" t="str">
        <f t="shared" ca="1" si="4"/>
        <v xml:space="preserve"> </v>
      </c>
      <c r="X39" s="189">
        <f t="shared" si="23"/>
        <v>0</v>
      </c>
      <c r="Y39" s="408">
        <f t="shared" si="24"/>
        <v>0</v>
      </c>
      <c r="Z39" s="405">
        <f t="shared" si="5"/>
        <v>0</v>
      </c>
      <c r="AA39" s="189">
        <f t="shared" si="6"/>
        <v>0</v>
      </c>
      <c r="AB39" s="189">
        <f t="shared" si="7"/>
        <v>0</v>
      </c>
      <c r="AC39" s="395">
        <f t="shared" ca="1" si="8"/>
        <v>0</v>
      </c>
      <c r="AD39" s="395">
        <f t="shared" ca="1" si="9"/>
        <v>0</v>
      </c>
      <c r="AE39" s="189">
        <f t="shared" ca="1" si="10"/>
        <v>0</v>
      </c>
      <c r="AF39" s="189">
        <f t="shared" ca="1" si="11"/>
        <v>0</v>
      </c>
      <c r="AG39" s="407">
        <f t="shared" ca="1" si="12"/>
        <v>0</v>
      </c>
      <c r="AH39" s="395">
        <f t="shared" ca="1" si="13"/>
        <v>0</v>
      </c>
      <c r="AI39" s="395">
        <f t="shared" ca="1" si="14"/>
        <v>0</v>
      </c>
      <c r="AJ39" s="189">
        <f t="shared" ca="1" si="15"/>
        <v>0</v>
      </c>
      <c r="AK39" s="189">
        <f t="shared" ca="1" si="16"/>
        <v>0</v>
      </c>
      <c r="AL39" s="407">
        <f t="shared" ca="1" si="17"/>
        <v>0</v>
      </c>
      <c r="AM39" s="409"/>
      <c r="AN39" s="395">
        <f t="shared" si="18"/>
        <v>0</v>
      </c>
      <c r="AO39" s="395">
        <f t="shared" si="19"/>
        <v>0</v>
      </c>
      <c r="AP39" s="395">
        <f t="shared" si="20"/>
        <v>0</v>
      </c>
      <c r="AQ39" s="395">
        <f t="shared" si="21"/>
        <v>0</v>
      </c>
      <c r="AR39" s="395">
        <f t="shared" si="22"/>
        <v>0</v>
      </c>
      <c r="AS39" s="397">
        <f t="shared" si="3"/>
        <v>0</v>
      </c>
    </row>
    <row r="40" spans="1:45" x14ac:dyDescent="0.2">
      <c r="A40" s="494"/>
      <c r="B40" s="686"/>
      <c r="C40" s="687"/>
      <c r="D40" s="687"/>
      <c r="E40" s="686"/>
      <c r="F40" s="687"/>
      <c r="G40" s="687"/>
      <c r="H40" s="686"/>
      <c r="I40" s="687"/>
      <c r="J40" s="687"/>
      <c r="K40" s="687"/>
      <c r="L40" s="496"/>
      <c r="M40" s="480"/>
      <c r="N40" s="497"/>
      <c r="O40" s="164" t="str">
        <f t="shared" ca="1" si="0"/>
        <v/>
      </c>
      <c r="P40" s="161"/>
      <c r="Q40" s="422"/>
      <c r="R40" s="765"/>
      <c r="S40" s="765"/>
      <c r="T40" s="765"/>
      <c r="U40" s="765"/>
      <c r="V40" s="423"/>
      <c r="W40" s="395" t="str">
        <f t="shared" ca="1" si="4"/>
        <v xml:space="preserve"> </v>
      </c>
      <c r="X40" s="189">
        <f t="shared" si="23"/>
        <v>0</v>
      </c>
      <c r="Y40" s="408">
        <f t="shared" si="24"/>
        <v>0</v>
      </c>
      <c r="Z40" s="405">
        <f t="shared" si="5"/>
        <v>0</v>
      </c>
      <c r="AA40" s="189">
        <f t="shared" si="6"/>
        <v>0</v>
      </c>
      <c r="AB40" s="189">
        <f t="shared" si="7"/>
        <v>0</v>
      </c>
      <c r="AC40" s="395">
        <f t="shared" ca="1" si="8"/>
        <v>0</v>
      </c>
      <c r="AD40" s="395">
        <f t="shared" ca="1" si="9"/>
        <v>0</v>
      </c>
      <c r="AE40" s="189">
        <f t="shared" ca="1" si="10"/>
        <v>0</v>
      </c>
      <c r="AF40" s="189">
        <f t="shared" ca="1" si="11"/>
        <v>0</v>
      </c>
      <c r="AG40" s="407">
        <f t="shared" ca="1" si="12"/>
        <v>0</v>
      </c>
      <c r="AH40" s="395">
        <f t="shared" ca="1" si="13"/>
        <v>0</v>
      </c>
      <c r="AI40" s="395">
        <f t="shared" ca="1" si="14"/>
        <v>0</v>
      </c>
      <c r="AJ40" s="189">
        <f t="shared" ca="1" si="15"/>
        <v>0</v>
      </c>
      <c r="AK40" s="189">
        <f t="shared" ca="1" si="16"/>
        <v>0</v>
      </c>
      <c r="AL40" s="407">
        <f t="shared" ca="1" si="17"/>
        <v>0</v>
      </c>
      <c r="AM40" s="409"/>
      <c r="AN40" s="395">
        <f t="shared" si="18"/>
        <v>0</v>
      </c>
      <c r="AO40" s="395">
        <f t="shared" si="19"/>
        <v>0</v>
      </c>
      <c r="AP40" s="395">
        <f t="shared" si="20"/>
        <v>0</v>
      </c>
      <c r="AQ40" s="395">
        <f t="shared" si="21"/>
        <v>0</v>
      </c>
      <c r="AR40" s="395">
        <f t="shared" si="22"/>
        <v>0</v>
      </c>
      <c r="AS40" s="397">
        <f t="shared" si="3"/>
        <v>0</v>
      </c>
    </row>
    <row r="41" spans="1:45" x14ac:dyDescent="0.2">
      <c r="A41" s="494"/>
      <c r="B41" s="686"/>
      <c r="C41" s="687"/>
      <c r="D41" s="687"/>
      <c r="E41" s="686"/>
      <c r="F41" s="687"/>
      <c r="G41" s="687"/>
      <c r="H41" s="686"/>
      <c r="I41" s="687"/>
      <c r="J41" s="687"/>
      <c r="K41" s="687"/>
      <c r="L41" s="496"/>
      <c r="M41" s="480"/>
      <c r="N41" s="497"/>
      <c r="O41" s="164" t="str">
        <f t="shared" ca="1" si="0"/>
        <v/>
      </c>
      <c r="P41" s="161"/>
      <c r="Q41" s="422"/>
      <c r="R41" s="765"/>
      <c r="S41" s="765"/>
      <c r="T41" s="765"/>
      <c r="U41" s="765"/>
      <c r="V41" s="423"/>
      <c r="W41" s="395" t="str">
        <f t="shared" ca="1" si="4"/>
        <v xml:space="preserve"> </v>
      </c>
      <c r="X41" s="189">
        <f t="shared" si="23"/>
        <v>0</v>
      </c>
      <c r="Y41" s="408">
        <f t="shared" si="24"/>
        <v>0</v>
      </c>
      <c r="Z41" s="405">
        <f t="shared" si="5"/>
        <v>0</v>
      </c>
      <c r="AA41" s="189">
        <f t="shared" si="6"/>
        <v>0</v>
      </c>
      <c r="AB41" s="189">
        <f t="shared" si="7"/>
        <v>0</v>
      </c>
      <c r="AC41" s="395">
        <f t="shared" ca="1" si="8"/>
        <v>0</v>
      </c>
      <c r="AD41" s="395">
        <f t="shared" ca="1" si="9"/>
        <v>0</v>
      </c>
      <c r="AE41" s="189">
        <f t="shared" ca="1" si="10"/>
        <v>0</v>
      </c>
      <c r="AF41" s="189">
        <f t="shared" ca="1" si="11"/>
        <v>0</v>
      </c>
      <c r="AG41" s="407">
        <f t="shared" ca="1" si="12"/>
        <v>0</v>
      </c>
      <c r="AH41" s="395">
        <f t="shared" ca="1" si="13"/>
        <v>0</v>
      </c>
      <c r="AI41" s="395">
        <f t="shared" ca="1" si="14"/>
        <v>0</v>
      </c>
      <c r="AJ41" s="189">
        <f t="shared" ca="1" si="15"/>
        <v>0</v>
      </c>
      <c r="AK41" s="189">
        <f t="shared" ca="1" si="16"/>
        <v>0</v>
      </c>
      <c r="AL41" s="407">
        <f t="shared" ca="1" si="17"/>
        <v>0</v>
      </c>
      <c r="AM41" s="409"/>
      <c r="AN41" s="395">
        <f t="shared" si="18"/>
        <v>0</v>
      </c>
      <c r="AO41" s="395">
        <f t="shared" si="19"/>
        <v>0</v>
      </c>
      <c r="AP41" s="395">
        <f t="shared" si="20"/>
        <v>0</v>
      </c>
      <c r="AQ41" s="395">
        <f t="shared" si="21"/>
        <v>0</v>
      </c>
      <c r="AR41" s="395">
        <f t="shared" si="22"/>
        <v>0</v>
      </c>
      <c r="AS41" s="397">
        <f t="shared" si="3"/>
        <v>0</v>
      </c>
    </row>
    <row r="42" spans="1:45" x14ac:dyDescent="0.2">
      <c r="A42" s="494"/>
      <c r="B42" s="686"/>
      <c r="C42" s="687"/>
      <c r="D42" s="687"/>
      <c r="E42" s="686"/>
      <c r="F42" s="687"/>
      <c r="G42" s="687"/>
      <c r="H42" s="686"/>
      <c r="I42" s="687"/>
      <c r="J42" s="687"/>
      <c r="K42" s="687"/>
      <c r="L42" s="496"/>
      <c r="M42" s="480"/>
      <c r="N42" s="497"/>
      <c r="O42" s="164" t="str">
        <f t="shared" ca="1" si="0"/>
        <v/>
      </c>
      <c r="P42" s="161"/>
      <c r="Q42" s="422"/>
      <c r="R42" s="765"/>
      <c r="S42" s="765"/>
      <c r="T42" s="765"/>
      <c r="U42" s="765"/>
      <c r="V42" s="423"/>
      <c r="W42" s="395" t="str">
        <f t="shared" ca="1" si="4"/>
        <v xml:space="preserve"> </v>
      </c>
      <c r="X42" s="189">
        <f t="shared" si="23"/>
        <v>0</v>
      </c>
      <c r="Y42" s="408">
        <f t="shared" si="24"/>
        <v>0</v>
      </c>
      <c r="Z42" s="405">
        <f t="shared" si="5"/>
        <v>0</v>
      </c>
      <c r="AA42" s="189">
        <f t="shared" si="6"/>
        <v>0</v>
      </c>
      <c r="AB42" s="189">
        <f t="shared" si="7"/>
        <v>0</v>
      </c>
      <c r="AC42" s="395">
        <f t="shared" ca="1" si="8"/>
        <v>0</v>
      </c>
      <c r="AD42" s="395">
        <f t="shared" ca="1" si="9"/>
        <v>0</v>
      </c>
      <c r="AE42" s="189">
        <f t="shared" ca="1" si="10"/>
        <v>0</v>
      </c>
      <c r="AF42" s="189">
        <f t="shared" ca="1" si="11"/>
        <v>0</v>
      </c>
      <c r="AG42" s="407">
        <f t="shared" ca="1" si="12"/>
        <v>0</v>
      </c>
      <c r="AH42" s="395">
        <f t="shared" ca="1" si="13"/>
        <v>0</v>
      </c>
      <c r="AI42" s="395">
        <f t="shared" ca="1" si="14"/>
        <v>0</v>
      </c>
      <c r="AJ42" s="189">
        <f t="shared" ca="1" si="15"/>
        <v>0</v>
      </c>
      <c r="AK42" s="189">
        <f t="shared" ca="1" si="16"/>
        <v>0</v>
      </c>
      <c r="AL42" s="407">
        <f t="shared" ca="1" si="17"/>
        <v>0</v>
      </c>
      <c r="AM42" s="409"/>
      <c r="AN42" s="395">
        <f t="shared" si="18"/>
        <v>0</v>
      </c>
      <c r="AO42" s="395">
        <f t="shared" si="19"/>
        <v>0</v>
      </c>
      <c r="AP42" s="395">
        <f t="shared" si="20"/>
        <v>0</v>
      </c>
      <c r="AQ42" s="395">
        <f t="shared" si="21"/>
        <v>0</v>
      </c>
      <c r="AR42" s="395">
        <f t="shared" si="22"/>
        <v>0</v>
      </c>
      <c r="AS42" s="397">
        <f t="shared" si="3"/>
        <v>0</v>
      </c>
    </row>
    <row r="43" spans="1:45" x14ac:dyDescent="0.2">
      <c r="A43" s="494"/>
      <c r="B43" s="686"/>
      <c r="C43" s="687"/>
      <c r="D43" s="687"/>
      <c r="E43" s="686"/>
      <c r="F43" s="687"/>
      <c r="G43" s="687"/>
      <c r="H43" s="686"/>
      <c r="I43" s="687"/>
      <c r="J43" s="687"/>
      <c r="K43" s="687"/>
      <c r="L43" s="496"/>
      <c r="M43" s="480"/>
      <c r="N43" s="497"/>
      <c r="O43" s="164" t="str">
        <f t="shared" ca="1" si="0"/>
        <v/>
      </c>
      <c r="P43" s="161"/>
      <c r="Q43" s="422"/>
      <c r="R43" s="765"/>
      <c r="S43" s="765"/>
      <c r="T43" s="765"/>
      <c r="U43" s="765"/>
      <c r="V43" s="423"/>
      <c r="W43" s="395" t="str">
        <f t="shared" ca="1" si="4"/>
        <v xml:space="preserve"> </v>
      </c>
      <c r="X43" s="189">
        <f t="shared" si="23"/>
        <v>0</v>
      </c>
      <c r="Y43" s="408">
        <f t="shared" si="24"/>
        <v>0</v>
      </c>
      <c r="Z43" s="405">
        <f t="shared" si="5"/>
        <v>0</v>
      </c>
      <c r="AA43" s="189">
        <f t="shared" si="6"/>
        <v>0</v>
      </c>
      <c r="AB43" s="189">
        <f t="shared" si="7"/>
        <v>0</v>
      </c>
      <c r="AC43" s="395">
        <f t="shared" ca="1" si="8"/>
        <v>0</v>
      </c>
      <c r="AD43" s="395">
        <f t="shared" ca="1" si="9"/>
        <v>0</v>
      </c>
      <c r="AE43" s="189">
        <f t="shared" ca="1" si="10"/>
        <v>0</v>
      </c>
      <c r="AF43" s="189">
        <f t="shared" ca="1" si="11"/>
        <v>0</v>
      </c>
      <c r="AG43" s="407">
        <f t="shared" ca="1" si="12"/>
        <v>0</v>
      </c>
      <c r="AH43" s="395">
        <f t="shared" ca="1" si="13"/>
        <v>0</v>
      </c>
      <c r="AI43" s="395">
        <f t="shared" ca="1" si="14"/>
        <v>0</v>
      </c>
      <c r="AJ43" s="189">
        <f t="shared" ca="1" si="15"/>
        <v>0</v>
      </c>
      <c r="AK43" s="189">
        <f t="shared" ca="1" si="16"/>
        <v>0</v>
      </c>
      <c r="AL43" s="407">
        <f t="shared" ca="1" si="17"/>
        <v>0</v>
      </c>
      <c r="AM43" s="409"/>
      <c r="AN43" s="395">
        <f t="shared" si="18"/>
        <v>0</v>
      </c>
      <c r="AO43" s="395">
        <f t="shared" si="19"/>
        <v>0</v>
      </c>
      <c r="AP43" s="395">
        <f t="shared" si="20"/>
        <v>0</v>
      </c>
      <c r="AQ43" s="395">
        <f t="shared" si="21"/>
        <v>0</v>
      </c>
      <c r="AR43" s="395">
        <f t="shared" si="22"/>
        <v>0</v>
      </c>
      <c r="AS43" s="397">
        <f t="shared" si="3"/>
        <v>0</v>
      </c>
    </row>
    <row r="44" spans="1:45" x14ac:dyDescent="0.2">
      <c r="A44" s="494"/>
      <c r="B44" s="686"/>
      <c r="C44" s="687"/>
      <c r="D44" s="687"/>
      <c r="E44" s="686"/>
      <c r="F44" s="687"/>
      <c r="G44" s="687"/>
      <c r="H44" s="686"/>
      <c r="I44" s="687"/>
      <c r="J44" s="687"/>
      <c r="K44" s="687"/>
      <c r="L44" s="496"/>
      <c r="M44" s="480"/>
      <c r="N44" s="497"/>
      <c r="O44" s="164" t="str">
        <f t="shared" ca="1" si="0"/>
        <v/>
      </c>
      <c r="P44" s="161"/>
      <c r="Q44" s="422"/>
      <c r="R44" s="765"/>
      <c r="S44" s="765"/>
      <c r="T44" s="765"/>
      <c r="U44" s="765"/>
      <c r="V44" s="423"/>
      <c r="W44" s="395" t="str">
        <f t="shared" ca="1" si="4"/>
        <v xml:space="preserve"> </v>
      </c>
      <c r="X44" s="189">
        <f t="shared" si="23"/>
        <v>0</v>
      </c>
      <c r="Y44" s="408">
        <f t="shared" si="24"/>
        <v>0</v>
      </c>
      <c r="Z44" s="405">
        <f t="shared" si="5"/>
        <v>0</v>
      </c>
      <c r="AA44" s="189">
        <f t="shared" si="6"/>
        <v>0</v>
      </c>
      <c r="AB44" s="189">
        <f t="shared" si="7"/>
        <v>0</v>
      </c>
      <c r="AC44" s="395">
        <f t="shared" ca="1" si="8"/>
        <v>0</v>
      </c>
      <c r="AD44" s="395">
        <f t="shared" ca="1" si="9"/>
        <v>0</v>
      </c>
      <c r="AE44" s="189">
        <f t="shared" ca="1" si="10"/>
        <v>0</v>
      </c>
      <c r="AF44" s="189">
        <f t="shared" ca="1" si="11"/>
        <v>0</v>
      </c>
      <c r="AG44" s="407">
        <f t="shared" ca="1" si="12"/>
        <v>0</v>
      </c>
      <c r="AH44" s="395">
        <f t="shared" ca="1" si="13"/>
        <v>0</v>
      </c>
      <c r="AI44" s="395">
        <f t="shared" ca="1" si="14"/>
        <v>0</v>
      </c>
      <c r="AJ44" s="189">
        <f t="shared" ca="1" si="15"/>
        <v>0</v>
      </c>
      <c r="AK44" s="189">
        <f t="shared" ca="1" si="16"/>
        <v>0</v>
      </c>
      <c r="AL44" s="407">
        <f t="shared" ca="1" si="17"/>
        <v>0</v>
      </c>
      <c r="AM44" s="409"/>
      <c r="AN44" s="395">
        <f t="shared" si="18"/>
        <v>0</v>
      </c>
      <c r="AO44" s="395">
        <f t="shared" si="19"/>
        <v>0</v>
      </c>
      <c r="AP44" s="395">
        <f t="shared" si="20"/>
        <v>0</v>
      </c>
      <c r="AQ44" s="395">
        <f t="shared" si="21"/>
        <v>0</v>
      </c>
      <c r="AR44" s="395">
        <f t="shared" si="22"/>
        <v>0</v>
      </c>
      <c r="AS44" s="397">
        <f t="shared" si="3"/>
        <v>0</v>
      </c>
    </row>
    <row r="45" spans="1:45" x14ac:dyDescent="0.2">
      <c r="A45" s="494"/>
      <c r="B45" s="686"/>
      <c r="C45" s="687"/>
      <c r="D45" s="687"/>
      <c r="E45" s="686"/>
      <c r="F45" s="687"/>
      <c r="G45" s="687"/>
      <c r="H45" s="686"/>
      <c r="I45" s="687"/>
      <c r="J45" s="687"/>
      <c r="K45" s="687"/>
      <c r="L45" s="496"/>
      <c r="M45" s="480"/>
      <c r="N45" s="497"/>
      <c r="O45" s="164" t="str">
        <f t="shared" ca="1" si="0"/>
        <v/>
      </c>
      <c r="P45" s="161"/>
      <c r="Q45" s="422"/>
      <c r="R45" s="765"/>
      <c r="S45" s="765"/>
      <c r="T45" s="765"/>
      <c r="U45" s="765"/>
      <c r="V45" s="423"/>
      <c r="W45" s="395" t="str">
        <f t="shared" ca="1" si="4"/>
        <v xml:space="preserve"> </v>
      </c>
      <c r="X45" s="189">
        <f t="shared" si="23"/>
        <v>0</v>
      </c>
      <c r="Y45" s="408">
        <f t="shared" si="24"/>
        <v>0</v>
      </c>
      <c r="Z45" s="405">
        <f t="shared" si="5"/>
        <v>0</v>
      </c>
      <c r="AA45" s="189">
        <f t="shared" si="6"/>
        <v>0</v>
      </c>
      <c r="AB45" s="189">
        <f t="shared" si="7"/>
        <v>0</v>
      </c>
      <c r="AC45" s="395">
        <f t="shared" ca="1" si="8"/>
        <v>0</v>
      </c>
      <c r="AD45" s="395">
        <f t="shared" ca="1" si="9"/>
        <v>0</v>
      </c>
      <c r="AE45" s="189">
        <f t="shared" ca="1" si="10"/>
        <v>0</v>
      </c>
      <c r="AF45" s="189">
        <f t="shared" ca="1" si="11"/>
        <v>0</v>
      </c>
      <c r="AG45" s="407">
        <f t="shared" ca="1" si="12"/>
        <v>0</v>
      </c>
      <c r="AH45" s="395">
        <f t="shared" ca="1" si="13"/>
        <v>0</v>
      </c>
      <c r="AI45" s="395">
        <f t="shared" ca="1" si="14"/>
        <v>0</v>
      </c>
      <c r="AJ45" s="189">
        <f t="shared" ca="1" si="15"/>
        <v>0</v>
      </c>
      <c r="AK45" s="189">
        <f t="shared" ca="1" si="16"/>
        <v>0</v>
      </c>
      <c r="AL45" s="407">
        <f t="shared" ca="1" si="17"/>
        <v>0</v>
      </c>
      <c r="AM45" s="409"/>
      <c r="AN45" s="395">
        <f t="shared" si="18"/>
        <v>0</v>
      </c>
      <c r="AO45" s="395">
        <f t="shared" si="19"/>
        <v>0</v>
      </c>
      <c r="AP45" s="395">
        <f t="shared" si="20"/>
        <v>0</v>
      </c>
      <c r="AQ45" s="395">
        <f t="shared" si="21"/>
        <v>0</v>
      </c>
      <c r="AR45" s="395">
        <f t="shared" si="22"/>
        <v>0</v>
      </c>
      <c r="AS45" s="397">
        <f t="shared" si="3"/>
        <v>0</v>
      </c>
    </row>
    <row r="46" spans="1:45" x14ac:dyDescent="0.2">
      <c r="A46" s="494"/>
      <c r="B46" s="686"/>
      <c r="C46" s="687"/>
      <c r="D46" s="687"/>
      <c r="E46" s="686"/>
      <c r="F46" s="687"/>
      <c r="G46" s="687"/>
      <c r="H46" s="686"/>
      <c r="I46" s="687"/>
      <c r="J46" s="687"/>
      <c r="K46" s="687"/>
      <c r="L46" s="496"/>
      <c r="M46" s="480"/>
      <c r="N46" s="497"/>
      <c r="O46" s="164" t="str">
        <f t="shared" ca="1" si="0"/>
        <v/>
      </c>
      <c r="P46" s="161"/>
      <c r="Q46" s="422"/>
      <c r="R46" s="765"/>
      <c r="S46" s="765"/>
      <c r="T46" s="765"/>
      <c r="U46" s="765"/>
      <c r="V46" s="423"/>
      <c r="W46" s="395" t="str">
        <f t="shared" ca="1" si="4"/>
        <v xml:space="preserve"> </v>
      </c>
      <c r="X46" s="189">
        <f t="shared" si="23"/>
        <v>0</v>
      </c>
      <c r="Y46" s="408">
        <f t="shared" si="24"/>
        <v>0</v>
      </c>
      <c r="Z46" s="405">
        <f t="shared" si="5"/>
        <v>0</v>
      </c>
      <c r="AA46" s="189">
        <f t="shared" si="6"/>
        <v>0</v>
      </c>
      <c r="AB46" s="189">
        <f t="shared" si="7"/>
        <v>0</v>
      </c>
      <c r="AC46" s="395">
        <f t="shared" ca="1" si="8"/>
        <v>0</v>
      </c>
      <c r="AD46" s="395">
        <f t="shared" ca="1" si="9"/>
        <v>0</v>
      </c>
      <c r="AE46" s="189">
        <f t="shared" ca="1" si="10"/>
        <v>0</v>
      </c>
      <c r="AF46" s="189">
        <f t="shared" ca="1" si="11"/>
        <v>0</v>
      </c>
      <c r="AG46" s="407">
        <f t="shared" ca="1" si="12"/>
        <v>0</v>
      </c>
      <c r="AH46" s="395">
        <f t="shared" ca="1" si="13"/>
        <v>0</v>
      </c>
      <c r="AI46" s="395">
        <f t="shared" ca="1" si="14"/>
        <v>0</v>
      </c>
      <c r="AJ46" s="189">
        <f t="shared" ca="1" si="15"/>
        <v>0</v>
      </c>
      <c r="AK46" s="189">
        <f t="shared" ca="1" si="16"/>
        <v>0</v>
      </c>
      <c r="AL46" s="407">
        <f t="shared" ca="1" si="17"/>
        <v>0</v>
      </c>
      <c r="AM46" s="409"/>
      <c r="AN46" s="395">
        <f t="shared" si="18"/>
        <v>0</v>
      </c>
      <c r="AO46" s="395">
        <f t="shared" si="19"/>
        <v>0</v>
      </c>
      <c r="AP46" s="395">
        <f t="shared" si="20"/>
        <v>0</v>
      </c>
      <c r="AQ46" s="395">
        <f t="shared" si="21"/>
        <v>0</v>
      </c>
      <c r="AR46" s="395">
        <f t="shared" si="22"/>
        <v>0</v>
      </c>
      <c r="AS46" s="397">
        <f t="shared" si="3"/>
        <v>0</v>
      </c>
    </row>
    <row r="47" spans="1:45" x14ac:dyDescent="0.2">
      <c r="A47" s="494"/>
      <c r="B47" s="686"/>
      <c r="C47" s="687"/>
      <c r="D47" s="687"/>
      <c r="E47" s="686"/>
      <c r="F47" s="687"/>
      <c r="G47" s="687"/>
      <c r="H47" s="686"/>
      <c r="I47" s="687"/>
      <c r="J47" s="687"/>
      <c r="K47" s="687"/>
      <c r="L47" s="496"/>
      <c r="M47" s="480"/>
      <c r="N47" s="497"/>
      <c r="O47" s="164" t="str">
        <f t="shared" ca="1" si="0"/>
        <v/>
      </c>
      <c r="P47" s="161"/>
      <c r="Q47" s="422"/>
      <c r="R47" s="765"/>
      <c r="S47" s="765"/>
      <c r="T47" s="765"/>
      <c r="U47" s="765"/>
      <c r="V47" s="423"/>
      <c r="W47" s="395" t="str">
        <f t="shared" ca="1" si="4"/>
        <v xml:space="preserve"> </v>
      </c>
      <c r="X47" s="189">
        <f t="shared" si="23"/>
        <v>0</v>
      </c>
      <c r="Y47" s="408">
        <f t="shared" si="24"/>
        <v>0</v>
      </c>
      <c r="Z47" s="405">
        <f t="shared" si="5"/>
        <v>0</v>
      </c>
      <c r="AA47" s="189">
        <f t="shared" si="6"/>
        <v>0</v>
      </c>
      <c r="AB47" s="189">
        <f t="shared" si="7"/>
        <v>0</v>
      </c>
      <c r="AC47" s="395">
        <f t="shared" ca="1" si="8"/>
        <v>0</v>
      </c>
      <c r="AD47" s="395">
        <f t="shared" ca="1" si="9"/>
        <v>0</v>
      </c>
      <c r="AE47" s="189">
        <f t="shared" ca="1" si="10"/>
        <v>0</v>
      </c>
      <c r="AF47" s="189">
        <f t="shared" ca="1" si="11"/>
        <v>0</v>
      </c>
      <c r="AG47" s="407">
        <f t="shared" ca="1" si="12"/>
        <v>0</v>
      </c>
      <c r="AH47" s="395">
        <f t="shared" ca="1" si="13"/>
        <v>0</v>
      </c>
      <c r="AI47" s="395">
        <f t="shared" ca="1" si="14"/>
        <v>0</v>
      </c>
      <c r="AJ47" s="189">
        <f t="shared" ca="1" si="15"/>
        <v>0</v>
      </c>
      <c r="AK47" s="189">
        <f t="shared" ca="1" si="16"/>
        <v>0</v>
      </c>
      <c r="AL47" s="407">
        <f t="shared" ca="1" si="17"/>
        <v>0</v>
      </c>
      <c r="AM47" s="409"/>
      <c r="AN47" s="395">
        <f t="shared" si="18"/>
        <v>0</v>
      </c>
      <c r="AO47" s="395">
        <f t="shared" si="19"/>
        <v>0</v>
      </c>
      <c r="AP47" s="395">
        <f t="shared" si="20"/>
        <v>0</v>
      </c>
      <c r="AQ47" s="395">
        <f t="shared" si="21"/>
        <v>0</v>
      </c>
      <c r="AR47" s="395">
        <f t="shared" si="22"/>
        <v>0</v>
      </c>
      <c r="AS47" s="397">
        <f t="shared" si="3"/>
        <v>0</v>
      </c>
    </row>
    <row r="48" spans="1:45" x14ac:dyDescent="0.2">
      <c r="A48" s="494"/>
      <c r="B48" s="686"/>
      <c r="C48" s="687"/>
      <c r="D48" s="687"/>
      <c r="E48" s="686"/>
      <c r="F48" s="687"/>
      <c r="G48" s="687"/>
      <c r="H48" s="686"/>
      <c r="I48" s="687"/>
      <c r="J48" s="687"/>
      <c r="K48" s="687"/>
      <c r="L48" s="496"/>
      <c r="M48" s="480"/>
      <c r="N48" s="497"/>
      <c r="O48" s="164" t="str">
        <f t="shared" ca="1" si="0"/>
        <v/>
      </c>
      <c r="P48" s="161"/>
      <c r="Q48" s="422"/>
      <c r="R48" s="765"/>
      <c r="S48" s="765"/>
      <c r="T48" s="765"/>
      <c r="U48" s="765"/>
      <c r="V48" s="423"/>
      <c r="W48" s="395" t="str">
        <f t="shared" ca="1" si="4"/>
        <v xml:space="preserve"> </v>
      </c>
      <c r="X48" s="189">
        <f t="shared" si="23"/>
        <v>0</v>
      </c>
      <c r="Y48" s="408">
        <f t="shared" si="24"/>
        <v>0</v>
      </c>
      <c r="Z48" s="405">
        <f t="shared" si="5"/>
        <v>0</v>
      </c>
      <c r="AA48" s="189">
        <f t="shared" si="6"/>
        <v>0</v>
      </c>
      <c r="AB48" s="189">
        <f t="shared" si="7"/>
        <v>0</v>
      </c>
      <c r="AC48" s="395">
        <f t="shared" ca="1" si="8"/>
        <v>0</v>
      </c>
      <c r="AD48" s="395">
        <f t="shared" ca="1" si="9"/>
        <v>0</v>
      </c>
      <c r="AE48" s="189">
        <f t="shared" ca="1" si="10"/>
        <v>0</v>
      </c>
      <c r="AF48" s="189">
        <f t="shared" ca="1" si="11"/>
        <v>0</v>
      </c>
      <c r="AG48" s="407">
        <f t="shared" ca="1" si="12"/>
        <v>0</v>
      </c>
      <c r="AH48" s="395">
        <f t="shared" ca="1" si="13"/>
        <v>0</v>
      </c>
      <c r="AI48" s="395">
        <f t="shared" ca="1" si="14"/>
        <v>0</v>
      </c>
      <c r="AJ48" s="189">
        <f t="shared" ca="1" si="15"/>
        <v>0</v>
      </c>
      <c r="AK48" s="189">
        <f t="shared" ca="1" si="16"/>
        <v>0</v>
      </c>
      <c r="AL48" s="407">
        <f t="shared" ca="1" si="17"/>
        <v>0</v>
      </c>
      <c r="AM48" s="409"/>
      <c r="AN48" s="395">
        <f t="shared" si="18"/>
        <v>0</v>
      </c>
      <c r="AO48" s="395">
        <f t="shared" si="19"/>
        <v>0</v>
      </c>
      <c r="AP48" s="395">
        <f t="shared" si="20"/>
        <v>0</v>
      </c>
      <c r="AQ48" s="395">
        <f t="shared" si="21"/>
        <v>0</v>
      </c>
      <c r="AR48" s="395">
        <f t="shared" si="22"/>
        <v>0</v>
      </c>
      <c r="AS48" s="397">
        <f t="shared" si="3"/>
        <v>0</v>
      </c>
    </row>
    <row r="49" spans="1:45" x14ac:dyDescent="0.2">
      <c r="A49" s="494"/>
      <c r="B49" s="686"/>
      <c r="C49" s="687"/>
      <c r="D49" s="687"/>
      <c r="E49" s="686"/>
      <c r="F49" s="687"/>
      <c r="G49" s="687"/>
      <c r="H49" s="686"/>
      <c r="I49" s="687"/>
      <c r="J49" s="687"/>
      <c r="K49" s="687"/>
      <c r="L49" s="496"/>
      <c r="M49" s="480"/>
      <c r="N49" s="497"/>
      <c r="O49" s="164" t="str">
        <f t="shared" ca="1" si="0"/>
        <v/>
      </c>
      <c r="P49" s="161"/>
      <c r="Q49" s="422"/>
      <c r="R49" s="765"/>
      <c r="S49" s="765"/>
      <c r="T49" s="765"/>
      <c r="U49" s="765"/>
      <c r="V49" s="423"/>
      <c r="W49" s="395" t="str">
        <f t="shared" ca="1" si="4"/>
        <v xml:space="preserve"> </v>
      </c>
      <c r="X49" s="189">
        <f t="shared" si="23"/>
        <v>0</v>
      </c>
      <c r="Y49" s="408">
        <f t="shared" si="24"/>
        <v>0</v>
      </c>
      <c r="Z49" s="405">
        <f t="shared" si="5"/>
        <v>0</v>
      </c>
      <c r="AA49" s="189">
        <f t="shared" si="6"/>
        <v>0</v>
      </c>
      <c r="AB49" s="189">
        <f t="shared" si="7"/>
        <v>0</v>
      </c>
      <c r="AC49" s="395">
        <f t="shared" ca="1" si="8"/>
        <v>0</v>
      </c>
      <c r="AD49" s="395">
        <f t="shared" ca="1" si="9"/>
        <v>0</v>
      </c>
      <c r="AE49" s="189">
        <f t="shared" ca="1" si="10"/>
        <v>0</v>
      </c>
      <c r="AF49" s="189">
        <f t="shared" ca="1" si="11"/>
        <v>0</v>
      </c>
      <c r="AG49" s="407">
        <f t="shared" ca="1" si="12"/>
        <v>0</v>
      </c>
      <c r="AH49" s="395">
        <f t="shared" ca="1" si="13"/>
        <v>0</v>
      </c>
      <c r="AI49" s="395">
        <f t="shared" ca="1" si="14"/>
        <v>0</v>
      </c>
      <c r="AJ49" s="189">
        <f t="shared" ca="1" si="15"/>
        <v>0</v>
      </c>
      <c r="AK49" s="189">
        <f t="shared" ca="1" si="16"/>
        <v>0</v>
      </c>
      <c r="AL49" s="407">
        <f t="shared" ca="1" si="17"/>
        <v>0</v>
      </c>
      <c r="AM49" s="409"/>
      <c r="AN49" s="395">
        <f t="shared" si="18"/>
        <v>0</v>
      </c>
      <c r="AO49" s="395">
        <f t="shared" si="19"/>
        <v>0</v>
      </c>
      <c r="AP49" s="395">
        <f t="shared" si="20"/>
        <v>0</v>
      </c>
      <c r="AQ49" s="395">
        <f t="shared" si="21"/>
        <v>0</v>
      </c>
      <c r="AR49" s="395">
        <f t="shared" si="22"/>
        <v>0</v>
      </c>
      <c r="AS49" s="397">
        <f t="shared" si="3"/>
        <v>0</v>
      </c>
    </row>
    <row r="50" spans="1:45" x14ac:dyDescent="0.2">
      <c r="A50" s="494"/>
      <c r="B50" s="686"/>
      <c r="C50" s="687"/>
      <c r="D50" s="687"/>
      <c r="E50" s="686"/>
      <c r="F50" s="687"/>
      <c r="G50" s="687"/>
      <c r="H50" s="686"/>
      <c r="I50" s="687"/>
      <c r="J50" s="687"/>
      <c r="K50" s="687"/>
      <c r="L50" s="496"/>
      <c r="M50" s="480"/>
      <c r="N50" s="497"/>
      <c r="O50" s="164" t="str">
        <f t="shared" ca="1" si="0"/>
        <v/>
      </c>
      <c r="P50" s="161"/>
      <c r="Q50" s="422"/>
      <c r="R50" s="765"/>
      <c r="S50" s="765"/>
      <c r="T50" s="765"/>
      <c r="U50" s="765"/>
      <c r="V50" s="423"/>
      <c r="W50" s="395" t="str">
        <f t="shared" ca="1" si="4"/>
        <v xml:space="preserve"> </v>
      </c>
      <c r="X50" s="189">
        <f t="shared" si="23"/>
        <v>0</v>
      </c>
      <c r="Y50" s="408">
        <f t="shared" si="24"/>
        <v>0</v>
      </c>
      <c r="Z50" s="405">
        <f t="shared" si="5"/>
        <v>0</v>
      </c>
      <c r="AA50" s="189">
        <f t="shared" si="6"/>
        <v>0</v>
      </c>
      <c r="AB50" s="189">
        <f t="shared" si="7"/>
        <v>0</v>
      </c>
      <c r="AC50" s="395">
        <f t="shared" ca="1" si="8"/>
        <v>0</v>
      </c>
      <c r="AD50" s="395">
        <f t="shared" ca="1" si="9"/>
        <v>0</v>
      </c>
      <c r="AE50" s="189">
        <f t="shared" ca="1" si="10"/>
        <v>0</v>
      </c>
      <c r="AF50" s="189">
        <f t="shared" ca="1" si="11"/>
        <v>0</v>
      </c>
      <c r="AG50" s="407">
        <f t="shared" ca="1" si="12"/>
        <v>0</v>
      </c>
      <c r="AH50" s="395">
        <f t="shared" ca="1" si="13"/>
        <v>0</v>
      </c>
      <c r="AI50" s="395">
        <f t="shared" ca="1" si="14"/>
        <v>0</v>
      </c>
      <c r="AJ50" s="189">
        <f t="shared" ca="1" si="15"/>
        <v>0</v>
      </c>
      <c r="AK50" s="189">
        <f t="shared" ca="1" si="16"/>
        <v>0</v>
      </c>
      <c r="AL50" s="407">
        <f t="shared" ca="1" si="17"/>
        <v>0</v>
      </c>
      <c r="AM50" s="409"/>
      <c r="AN50" s="395">
        <f t="shared" si="18"/>
        <v>0</v>
      </c>
      <c r="AO50" s="395">
        <f t="shared" si="19"/>
        <v>0</v>
      </c>
      <c r="AP50" s="395">
        <f t="shared" si="20"/>
        <v>0</v>
      </c>
      <c r="AQ50" s="395">
        <f t="shared" si="21"/>
        <v>0</v>
      </c>
      <c r="AR50" s="395">
        <f t="shared" si="22"/>
        <v>0</v>
      </c>
      <c r="AS50" s="397">
        <f t="shared" si="3"/>
        <v>0</v>
      </c>
    </row>
    <row r="51" spans="1:45" x14ac:dyDescent="0.2">
      <c r="A51" s="494"/>
      <c r="B51" s="686"/>
      <c r="C51" s="687"/>
      <c r="D51" s="687"/>
      <c r="E51" s="686"/>
      <c r="F51" s="687"/>
      <c r="G51" s="687"/>
      <c r="H51" s="686"/>
      <c r="I51" s="687"/>
      <c r="J51" s="687"/>
      <c r="K51" s="687"/>
      <c r="L51" s="496"/>
      <c r="M51" s="480"/>
      <c r="N51" s="497"/>
      <c r="O51" s="164" t="str">
        <f t="shared" ca="1" si="0"/>
        <v/>
      </c>
      <c r="P51" s="161"/>
      <c r="Q51" s="422"/>
      <c r="R51" s="765"/>
      <c r="S51" s="765"/>
      <c r="T51" s="765"/>
      <c r="U51" s="765"/>
      <c r="V51" s="423"/>
      <c r="W51" s="395" t="str">
        <f t="shared" ca="1" si="4"/>
        <v xml:space="preserve"> </v>
      </c>
      <c r="X51" s="189">
        <f t="shared" si="23"/>
        <v>0</v>
      </c>
      <c r="Y51" s="408">
        <f t="shared" si="24"/>
        <v>0</v>
      </c>
      <c r="Z51" s="405">
        <f t="shared" si="5"/>
        <v>0</v>
      </c>
      <c r="AA51" s="189">
        <f t="shared" si="6"/>
        <v>0</v>
      </c>
      <c r="AB51" s="189">
        <f t="shared" si="7"/>
        <v>0</v>
      </c>
      <c r="AC51" s="395">
        <f t="shared" ca="1" si="8"/>
        <v>0</v>
      </c>
      <c r="AD51" s="395">
        <f t="shared" ca="1" si="9"/>
        <v>0</v>
      </c>
      <c r="AE51" s="189">
        <f t="shared" ca="1" si="10"/>
        <v>0</v>
      </c>
      <c r="AF51" s="189">
        <f t="shared" ca="1" si="11"/>
        <v>0</v>
      </c>
      <c r="AG51" s="407">
        <f t="shared" ca="1" si="12"/>
        <v>0</v>
      </c>
      <c r="AH51" s="395">
        <f t="shared" ca="1" si="13"/>
        <v>0</v>
      </c>
      <c r="AI51" s="395">
        <f t="shared" ca="1" si="14"/>
        <v>0</v>
      </c>
      <c r="AJ51" s="189">
        <f t="shared" ca="1" si="15"/>
        <v>0</v>
      </c>
      <c r="AK51" s="189">
        <f t="shared" ca="1" si="16"/>
        <v>0</v>
      </c>
      <c r="AL51" s="407">
        <f t="shared" ca="1" si="17"/>
        <v>0</v>
      </c>
      <c r="AM51" s="409"/>
      <c r="AN51" s="395">
        <f t="shared" si="18"/>
        <v>0</v>
      </c>
      <c r="AO51" s="395">
        <f t="shared" si="19"/>
        <v>0</v>
      </c>
      <c r="AP51" s="395">
        <f t="shared" si="20"/>
        <v>0</v>
      </c>
      <c r="AQ51" s="395">
        <f t="shared" si="21"/>
        <v>0</v>
      </c>
      <c r="AR51" s="395">
        <f t="shared" si="22"/>
        <v>0</v>
      </c>
      <c r="AS51" s="397">
        <f t="shared" si="3"/>
        <v>0</v>
      </c>
    </row>
    <row r="52" spans="1:45" ht="13.5" thickBo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9" t="e">
        <f>SUM(L18:L51)/COUNT(L18:L51)</f>
        <v>#DIV/0!</v>
      </c>
      <c r="M52" s="163">
        <f>SUMIF(M18:M51,"&gt;2499",M18:M51)</f>
        <v>0</v>
      </c>
      <c r="N52" s="79"/>
      <c r="P52" s="53">
        <f>COUNTIF(P18:P51,"x")</f>
        <v>0</v>
      </c>
      <c r="Q52" s="425"/>
      <c r="R52" s="425"/>
      <c r="S52" s="425"/>
      <c r="T52" s="425"/>
      <c r="U52" s="425"/>
      <c r="V52" s="425">
        <f>SUM(V15:V51)</f>
        <v>0</v>
      </c>
      <c r="W52" s="410"/>
      <c r="X52" s="411">
        <f t="shared" ref="X52:Y52" si="27">SUM(X17:X51)</f>
        <v>0</v>
      </c>
      <c r="Y52" s="411">
        <f t="shared" si="27"/>
        <v>0</v>
      </c>
      <c r="Z52" s="411">
        <f>SUM(Z17:Z51)</f>
        <v>0</v>
      </c>
      <c r="AA52" s="411">
        <f t="shared" ref="AA52:AB52" si="28">SUM(AA17:AA51)</f>
        <v>0</v>
      </c>
      <c r="AB52" s="411">
        <f t="shared" si="28"/>
        <v>0</v>
      </c>
      <c r="AC52" s="413">
        <f t="shared" ref="AC52" ca="1" si="29">SUM(AC18:AC51)</f>
        <v>0</v>
      </c>
      <c r="AD52" s="411">
        <f ca="1">SUM(AD18:AD51)</f>
        <v>0</v>
      </c>
      <c r="AE52" s="411">
        <f t="shared" ref="AE52:AL52" ca="1" si="30">SUM(AE18:AE51)</f>
        <v>0</v>
      </c>
      <c r="AF52" s="411">
        <f t="shared" ca="1" si="30"/>
        <v>0</v>
      </c>
      <c r="AG52" s="407">
        <f t="shared" si="12"/>
        <v>0</v>
      </c>
      <c r="AH52" s="413">
        <f t="shared" ref="AH52" ca="1" si="31">SUM(AH18:AH51)</f>
        <v>0</v>
      </c>
      <c r="AI52" s="411">
        <f ca="1">SUM(AI18:AI51)</f>
        <v>0</v>
      </c>
      <c r="AJ52" s="411">
        <f t="shared" ca="1" si="30"/>
        <v>0</v>
      </c>
      <c r="AK52" s="411">
        <f t="shared" ca="1" si="30"/>
        <v>0</v>
      </c>
      <c r="AL52" s="412">
        <f t="shared" ca="1" si="30"/>
        <v>0</v>
      </c>
      <c r="AM52" s="163">
        <f>COUNTA(AM18:AM51)</f>
        <v>0</v>
      </c>
      <c r="AN52" s="413">
        <f t="shared" ref="AN52:AS52" si="32">SUM(AN18:AN51)</f>
        <v>0</v>
      </c>
      <c r="AO52" s="411">
        <f t="shared" si="32"/>
        <v>0</v>
      </c>
      <c r="AP52" s="411">
        <f t="shared" si="32"/>
        <v>0</v>
      </c>
      <c r="AQ52" s="411">
        <f t="shared" si="32"/>
        <v>0</v>
      </c>
      <c r="AR52" s="412">
        <f t="shared" si="32"/>
        <v>0</v>
      </c>
      <c r="AS52" s="398">
        <f t="shared" si="32"/>
        <v>0</v>
      </c>
    </row>
    <row r="53" spans="1:45" ht="13.5" thickTop="1" x14ac:dyDescent="0.2">
      <c r="A53" s="675" t="str">
        <f>IF(N53&gt;0,"DON’T FORGET TO ATTACH YOUR RECEIPT DOCUMENTATION TO THE EMAIL","")</f>
        <v/>
      </c>
      <c r="B53" s="675"/>
      <c r="C53" s="675"/>
      <c r="D53" s="675"/>
      <c r="E53" s="675"/>
      <c r="F53" s="675"/>
      <c r="G53" s="675"/>
      <c r="H53" s="675"/>
      <c r="M53" s="396" t="s">
        <v>1652</v>
      </c>
      <c r="N53" s="90">
        <f>IF(FundCode&lt;&gt;500,COUNT(N17:N51),IF(N60&gt;3,SUM(W17:W51),0))</f>
        <v>0</v>
      </c>
      <c r="Q53" s="417"/>
      <c r="R53" s="417"/>
      <c r="S53" s="417"/>
      <c r="T53" s="417"/>
      <c r="U53" s="417"/>
      <c r="W53" s="760" t="s">
        <v>293</v>
      </c>
      <c r="X53" s="761"/>
      <c r="Y53" s="761"/>
      <c r="Z53" s="761"/>
      <c r="AA53" s="761"/>
      <c r="AB53" s="761"/>
      <c r="AC53" s="762" t="s">
        <v>289</v>
      </c>
      <c r="AD53" s="763"/>
      <c r="AE53" s="763"/>
      <c r="AF53" s="763"/>
      <c r="AG53" s="764"/>
      <c r="AH53" s="762" t="s">
        <v>294</v>
      </c>
      <c r="AI53" s="763"/>
      <c r="AJ53" s="763"/>
      <c r="AK53" s="763"/>
      <c r="AL53" s="764"/>
      <c r="AM53" s="414"/>
      <c r="AN53" s="762" t="s">
        <v>294</v>
      </c>
      <c r="AO53" s="763"/>
      <c r="AP53" s="763"/>
      <c r="AQ53" s="763"/>
      <c r="AR53" s="764"/>
    </row>
    <row r="54" spans="1:45" x14ac:dyDescent="0.2">
      <c r="A54" s="675"/>
      <c r="B54" s="675"/>
      <c r="C54" s="675"/>
      <c r="D54" s="675"/>
      <c r="E54" s="675"/>
      <c r="F54" s="675"/>
      <c r="G54" s="675"/>
      <c r="H54" s="675"/>
      <c r="M54" s="396" t="s">
        <v>1617</v>
      </c>
      <c r="N54" s="90" t="str">
        <f>IF(N60&gt;3,AB52-AG52+AL52+AR52,"Please fill in the")</f>
        <v>Please fill in the</v>
      </c>
      <c r="Q54" s="417"/>
      <c r="R54" s="417"/>
      <c r="S54" s="417"/>
      <c r="T54" s="417"/>
      <c r="U54" s="417"/>
      <c r="Z54" s="415"/>
      <c r="AA54" s="415"/>
      <c r="AB54" s="415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</row>
    <row r="55" spans="1:45" x14ac:dyDescent="0.2">
      <c r="A55" s="675"/>
      <c r="B55" s="675"/>
      <c r="C55" s="675"/>
      <c r="D55" s="675"/>
      <c r="E55" s="675"/>
      <c r="F55" s="675"/>
      <c r="G55" s="675"/>
      <c r="H55" s="675"/>
      <c r="M55" s="396" t="s">
        <v>1628</v>
      </c>
      <c r="N55" s="51" t="str">
        <f>IF(N60&gt;3,X52-AC52+AH52+AN52,"Please fill in the")</f>
        <v>Please fill in the</v>
      </c>
    </row>
    <row r="56" spans="1:45" x14ac:dyDescent="0.2">
      <c r="A56" s="675"/>
      <c r="B56" s="675"/>
      <c r="C56" s="675"/>
      <c r="D56" s="675"/>
      <c r="E56" s="675"/>
      <c r="F56" s="675"/>
      <c r="G56" s="675"/>
      <c r="H56" s="675"/>
      <c r="M56" s="396" t="s">
        <v>1629</v>
      </c>
      <c r="N56" s="51">
        <f ca="1">Y52+AD52+AI52+AO52</f>
        <v>0</v>
      </c>
    </row>
    <row r="57" spans="1:45" x14ac:dyDescent="0.2">
      <c r="A57" s="675"/>
      <c r="B57" s="675"/>
      <c r="C57" s="675"/>
      <c r="D57" s="675"/>
      <c r="E57" s="675"/>
      <c r="F57" s="675"/>
      <c r="G57" s="675"/>
      <c r="H57" s="675"/>
      <c r="M57" s="396" t="s">
        <v>1618</v>
      </c>
      <c r="N57" s="399" t="str">
        <f>IF(N60&gt;3,Z52-AE52+AJ52+AP52,"yellow spaces")</f>
        <v>yellow spaces</v>
      </c>
    </row>
    <row r="58" spans="1:45" x14ac:dyDescent="0.2">
      <c r="A58" s="675"/>
      <c r="B58" s="675"/>
      <c r="C58" s="675"/>
      <c r="D58" s="675"/>
      <c r="E58" s="675"/>
      <c r="F58" s="675"/>
      <c r="G58" s="675"/>
      <c r="H58" s="675"/>
      <c r="M58" s="396" t="s">
        <v>1619</v>
      </c>
      <c r="N58" s="45" t="str">
        <f>IF(N60&gt;3,AA52-AF52+AK52+AQ52,"on the")</f>
        <v>on the</v>
      </c>
    </row>
    <row r="59" spans="1:45" x14ac:dyDescent="0.2">
      <c r="M59" s="5" t="s">
        <v>55</v>
      </c>
      <c r="N59" s="45" t="str">
        <f>IF(N60&gt;3,SUM(N55:N58)+SUM(Q18:Q52),"summary page")</f>
        <v>summary page</v>
      </c>
      <c r="O59" s="54"/>
      <c r="P59" s="54"/>
      <c r="W59" s="400"/>
      <c r="X59" s="400"/>
      <c r="Y59" s="400"/>
    </row>
    <row r="60" spans="1:45" x14ac:dyDescent="0.2">
      <c r="N60" s="224">
        <f>Summary!O12</f>
        <v>1</v>
      </c>
      <c r="V60" s="417"/>
    </row>
    <row r="61" spans="1:45" x14ac:dyDescent="0.2">
      <c r="Q61" s="417"/>
      <c r="R61" s="417"/>
      <c r="S61" s="417"/>
      <c r="T61" s="417"/>
      <c r="U61" s="417"/>
    </row>
  </sheetData>
  <sheetProtection algorithmName="SHA-512" hashValue="NP5/G/tjTstGGOZUteYrJ75tyMPcbTTUB3TPy0hxT3F80wCcKtvWPjpjbHMVwHp5lyJORbyCupLK7FJ2IO+7Yw==" saltValue="bq+3KWzEbWKIhn2+zeVFKQ==" spinCount="100000" sheet="1" objects="1" scenarios="1"/>
  <mergeCells count="192">
    <mergeCell ref="B45:D45"/>
    <mergeCell ref="E45:G45"/>
    <mergeCell ref="B46:D46"/>
    <mergeCell ref="H51:K51"/>
    <mergeCell ref="E46:G46"/>
    <mergeCell ref="H45:K45"/>
    <mergeCell ref="H49:K49"/>
    <mergeCell ref="A53:H58"/>
    <mergeCell ref="E48:G48"/>
    <mergeCell ref="H46:K46"/>
    <mergeCell ref="B51:D51"/>
    <mergeCell ref="E51:G51"/>
    <mergeCell ref="E50:G50"/>
    <mergeCell ref="H50:K50"/>
    <mergeCell ref="B50:D50"/>
    <mergeCell ref="B49:D49"/>
    <mergeCell ref="E49:G49"/>
    <mergeCell ref="B47:D47"/>
    <mergeCell ref="E47:G47"/>
    <mergeCell ref="H47:K47"/>
    <mergeCell ref="B48:D48"/>
    <mergeCell ref="H48:K48"/>
    <mergeCell ref="E39:G39"/>
    <mergeCell ref="H39:K39"/>
    <mergeCell ref="B40:D40"/>
    <mergeCell ref="E40:G40"/>
    <mergeCell ref="H40:K40"/>
    <mergeCell ref="B37:D37"/>
    <mergeCell ref="E37:G37"/>
    <mergeCell ref="H37:K37"/>
    <mergeCell ref="B44:D44"/>
    <mergeCell ref="E44:G44"/>
    <mergeCell ref="H44:K44"/>
    <mergeCell ref="B42:D42"/>
    <mergeCell ref="E42:G42"/>
    <mergeCell ref="H42:K42"/>
    <mergeCell ref="B38:D38"/>
    <mergeCell ref="E38:G38"/>
    <mergeCell ref="H38:K38"/>
    <mergeCell ref="B43:D43"/>
    <mergeCell ref="E43:G43"/>
    <mergeCell ref="H43:K43"/>
    <mergeCell ref="H41:K41"/>
    <mergeCell ref="B39:D39"/>
    <mergeCell ref="B41:D41"/>
    <mergeCell ref="E41:G41"/>
    <mergeCell ref="E31:G31"/>
    <mergeCell ref="H31:K31"/>
    <mergeCell ref="B36:D36"/>
    <mergeCell ref="E36:G36"/>
    <mergeCell ref="H36:K36"/>
    <mergeCell ref="B33:D33"/>
    <mergeCell ref="E33:G33"/>
    <mergeCell ref="H33:K33"/>
    <mergeCell ref="B34:D34"/>
    <mergeCell ref="E34:G34"/>
    <mergeCell ref="H34:K34"/>
    <mergeCell ref="B35:D35"/>
    <mergeCell ref="E35:G35"/>
    <mergeCell ref="H35:K35"/>
    <mergeCell ref="R16:U16"/>
    <mergeCell ref="B18:D18"/>
    <mergeCell ref="E18:G18"/>
    <mergeCell ref="H18:K18"/>
    <mergeCell ref="B17:D17"/>
    <mergeCell ref="E17:G17"/>
    <mergeCell ref="H17:K17"/>
    <mergeCell ref="E15:G16"/>
    <mergeCell ref="B15:D16"/>
    <mergeCell ref="L15:M15"/>
    <mergeCell ref="Q15:U15"/>
    <mergeCell ref="H16:K16"/>
    <mergeCell ref="R51:U51"/>
    <mergeCell ref="B24:D24"/>
    <mergeCell ref="E24:G24"/>
    <mergeCell ref="H24:K24"/>
    <mergeCell ref="B25:D25"/>
    <mergeCell ref="E25:G25"/>
    <mergeCell ref="H25:K25"/>
    <mergeCell ref="B21:D21"/>
    <mergeCell ref="E21:G21"/>
    <mergeCell ref="H21:K21"/>
    <mergeCell ref="B22:D22"/>
    <mergeCell ref="E22:G22"/>
    <mergeCell ref="H22:K22"/>
    <mergeCell ref="B23:D23"/>
    <mergeCell ref="E23:G23"/>
    <mergeCell ref="H23:K23"/>
    <mergeCell ref="B32:D32"/>
    <mergeCell ref="E32:G32"/>
    <mergeCell ref="H32:K32"/>
    <mergeCell ref="B26:D26"/>
    <mergeCell ref="E26:G26"/>
    <mergeCell ref="H26:K26"/>
    <mergeCell ref="B27:D27"/>
    <mergeCell ref="E27:G27"/>
    <mergeCell ref="R30:U30"/>
    <mergeCell ref="R39:U39"/>
    <mergeCell ref="R40:U40"/>
    <mergeCell ref="R41:U41"/>
    <mergeCell ref="R42:U42"/>
    <mergeCell ref="B19:D19"/>
    <mergeCell ref="E19:G19"/>
    <mergeCell ref="H19:K19"/>
    <mergeCell ref="B20:D20"/>
    <mergeCell ref="E20:G20"/>
    <mergeCell ref="H20:K20"/>
    <mergeCell ref="R26:U26"/>
    <mergeCell ref="R27:U27"/>
    <mergeCell ref="H27:K27"/>
    <mergeCell ref="B28:D28"/>
    <mergeCell ref="E28:G28"/>
    <mergeCell ref="H28:K28"/>
    <mergeCell ref="B29:D29"/>
    <mergeCell ref="E29:G29"/>
    <mergeCell ref="H29:K29"/>
    <mergeCell ref="B30:D30"/>
    <mergeCell ref="E30:G30"/>
    <mergeCell ref="H30:K30"/>
    <mergeCell ref="B31:D31"/>
    <mergeCell ref="AS15:AS16"/>
    <mergeCell ref="AP9:AP16"/>
    <mergeCell ref="AQ9:AQ16"/>
    <mergeCell ref="AR9:AR16"/>
    <mergeCell ref="AO9:AO16"/>
    <mergeCell ref="K8:N8"/>
    <mergeCell ref="K9:N9"/>
    <mergeCell ref="K10:N10"/>
    <mergeCell ref="K11:N11"/>
    <mergeCell ref="K12:N12"/>
    <mergeCell ref="X9:X16"/>
    <mergeCell ref="AC9:AC16"/>
    <mergeCell ref="AH9:AH16"/>
    <mergeCell ref="AN9:AN16"/>
    <mergeCell ref="AI9:AI16"/>
    <mergeCell ref="Z9:Z16"/>
    <mergeCell ref="AA9:AA16"/>
    <mergeCell ref="AB9:AB16"/>
    <mergeCell ref="V15:V16"/>
    <mergeCell ref="AG9:AG16"/>
    <mergeCell ref="AF9:AF16"/>
    <mergeCell ref="AE9:AE16"/>
    <mergeCell ref="W9:W16"/>
    <mergeCell ref="H15:K15"/>
    <mergeCell ref="AN8:AR8"/>
    <mergeCell ref="AN53:AR53"/>
    <mergeCell ref="AJ9:AJ16"/>
    <mergeCell ref="AK9:AK16"/>
    <mergeCell ref="AL9:AL16"/>
    <mergeCell ref="Y9:Y16"/>
    <mergeCell ref="AD9:AD16"/>
    <mergeCell ref="A1:E1"/>
    <mergeCell ref="G8:J8"/>
    <mergeCell ref="G11:J11"/>
    <mergeCell ref="G12:J12"/>
    <mergeCell ref="A8:E8"/>
    <mergeCell ref="R48:U48"/>
    <mergeCell ref="R50:U50"/>
    <mergeCell ref="R49:U49"/>
    <mergeCell ref="R38:U38"/>
    <mergeCell ref="R33:U33"/>
    <mergeCell ref="R34:U34"/>
    <mergeCell ref="R35:U35"/>
    <mergeCell ref="R36:U36"/>
    <mergeCell ref="R37:U37"/>
    <mergeCell ref="R18:U18"/>
    <mergeCell ref="R19:U19"/>
    <mergeCell ref="R24:U24"/>
    <mergeCell ref="A9:E13"/>
    <mergeCell ref="G13:J13"/>
    <mergeCell ref="K13:N13"/>
    <mergeCell ref="AM9:AM16"/>
    <mergeCell ref="W8:AB8"/>
    <mergeCell ref="AC8:AG8"/>
    <mergeCell ref="AH8:AL8"/>
    <mergeCell ref="W53:AB53"/>
    <mergeCell ref="AC53:AG53"/>
    <mergeCell ref="AH53:AL53"/>
    <mergeCell ref="R25:U25"/>
    <mergeCell ref="R21:U21"/>
    <mergeCell ref="R22:U22"/>
    <mergeCell ref="R23:U23"/>
    <mergeCell ref="R43:U43"/>
    <mergeCell ref="R44:U44"/>
    <mergeCell ref="R45:U45"/>
    <mergeCell ref="R46:U46"/>
    <mergeCell ref="R47:U47"/>
    <mergeCell ref="R20:U20"/>
    <mergeCell ref="R31:U31"/>
    <mergeCell ref="R32:U32"/>
    <mergeCell ref="R28:U28"/>
    <mergeCell ref="R29:U29"/>
  </mergeCells>
  <phoneticPr fontId="0" type="noConversion"/>
  <conditionalFormatting sqref="A18">
    <cfRule type="expression" dxfId="88" priority="166">
      <formula>M18="disallow"</formula>
    </cfRule>
  </conditionalFormatting>
  <conditionalFormatting sqref="B18:D18">
    <cfRule type="expression" dxfId="87" priority="165">
      <formula>M18="disallow"</formula>
    </cfRule>
  </conditionalFormatting>
  <conditionalFormatting sqref="E18:G18">
    <cfRule type="expression" dxfId="86" priority="164">
      <formula>M18="disallow"</formula>
    </cfRule>
  </conditionalFormatting>
  <conditionalFormatting sqref="H18:K18">
    <cfRule type="expression" dxfId="85" priority="163">
      <formula>M18="disallow"</formula>
    </cfRule>
  </conditionalFormatting>
  <conditionalFormatting sqref="L18">
    <cfRule type="expression" dxfId="84" priority="162">
      <formula>M18="disallow"</formula>
    </cfRule>
  </conditionalFormatting>
  <conditionalFormatting sqref="A18">
    <cfRule type="expression" dxfId="83" priority="161">
      <formula>M18="disallow"</formula>
    </cfRule>
  </conditionalFormatting>
  <conditionalFormatting sqref="B18:D18">
    <cfRule type="expression" dxfId="82" priority="160">
      <formula>M18="disallow"</formula>
    </cfRule>
  </conditionalFormatting>
  <conditionalFormatting sqref="E18:G18">
    <cfRule type="expression" dxfId="81" priority="159">
      <formula>M18="disallow"</formula>
    </cfRule>
  </conditionalFormatting>
  <conditionalFormatting sqref="H18:K18">
    <cfRule type="expression" dxfId="80" priority="158">
      <formula>M18="disallow"</formula>
    </cfRule>
  </conditionalFormatting>
  <conditionalFormatting sqref="L18">
    <cfRule type="expression" dxfId="79" priority="157">
      <formula>M18="disallow"</formula>
    </cfRule>
  </conditionalFormatting>
  <conditionalFormatting sqref="L18">
    <cfRule type="expression" dxfId="78" priority="156">
      <formula>M18="disallow"</formula>
    </cfRule>
  </conditionalFormatting>
  <conditionalFormatting sqref="A18">
    <cfRule type="expression" priority="155">
      <formula>AND($M18="disallow",$W18="")</formula>
    </cfRule>
  </conditionalFormatting>
  <conditionalFormatting sqref="B18:D18">
    <cfRule type="expression" priority="154">
      <formula>AND($M18="disallow",$W18="")</formula>
    </cfRule>
  </conditionalFormatting>
  <conditionalFormatting sqref="E18:G18">
    <cfRule type="expression" priority="153">
      <formula>AND($M18="disallow",$W18="")</formula>
    </cfRule>
  </conditionalFormatting>
  <conditionalFormatting sqref="L18">
    <cfRule type="expression" priority="151">
      <formula>AND($M18="disallow",$W18="")</formula>
    </cfRule>
  </conditionalFormatting>
  <conditionalFormatting sqref="B18:D18">
    <cfRule type="expression" priority="150">
      <formula>AND($M18="disallow",$W18="")</formula>
    </cfRule>
  </conditionalFormatting>
  <conditionalFormatting sqref="E18:G18">
    <cfRule type="expression" priority="149">
      <formula>AND($M18="disallow",$W18="")</formula>
    </cfRule>
  </conditionalFormatting>
  <conditionalFormatting sqref="L18">
    <cfRule type="expression" priority="147">
      <formula>AND($M18="disallow",$W18="")</formula>
    </cfRule>
  </conditionalFormatting>
  <conditionalFormatting sqref="A18">
    <cfRule type="expression" priority="146">
      <formula>AND($M18="disallow",$W18="")</formula>
    </cfRule>
  </conditionalFormatting>
  <conditionalFormatting sqref="A18">
    <cfRule type="expression" dxfId="77" priority="145">
      <formula>AND($M18="disallow",$W18="")</formula>
    </cfRule>
  </conditionalFormatting>
  <conditionalFormatting sqref="B18:D18">
    <cfRule type="expression" dxfId="76" priority="144">
      <formula>AND($M18="disallow",$W18="")</formula>
    </cfRule>
  </conditionalFormatting>
  <conditionalFormatting sqref="E18:G18">
    <cfRule type="expression" dxfId="75" priority="143">
      <formula>AND($M18="disallow",$W18="")</formula>
    </cfRule>
  </conditionalFormatting>
  <conditionalFormatting sqref="L18">
    <cfRule type="expression" dxfId="74" priority="141">
      <formula>AND($M18="disallow",$W18="")</formula>
    </cfRule>
  </conditionalFormatting>
  <conditionalFormatting sqref="B18:D18">
    <cfRule type="expression" priority="140">
      <formula>AND($M18="disallow",$W18="")</formula>
    </cfRule>
  </conditionalFormatting>
  <conditionalFormatting sqref="E18:G18">
    <cfRule type="expression" priority="139">
      <formula>AND($M18="disallow",$W18="")</formula>
    </cfRule>
  </conditionalFormatting>
  <conditionalFormatting sqref="L18">
    <cfRule type="expression" priority="137">
      <formula>AND($M18="disallow",$W18="")</formula>
    </cfRule>
  </conditionalFormatting>
  <conditionalFormatting sqref="A18">
    <cfRule type="expression" priority="136">
      <formula>AND($M18="disallow",$W18="")</formula>
    </cfRule>
  </conditionalFormatting>
  <conditionalFormatting sqref="A18">
    <cfRule type="expression" dxfId="73" priority="135">
      <formula>AND($M18="disallow",$W18="")</formula>
    </cfRule>
  </conditionalFormatting>
  <conditionalFormatting sqref="B18:D18">
    <cfRule type="expression" dxfId="72" priority="134">
      <formula>AND($M18="disallow",$W18="")</formula>
    </cfRule>
  </conditionalFormatting>
  <conditionalFormatting sqref="E18:G18">
    <cfRule type="expression" dxfId="71" priority="133">
      <formula>AND($M18="disallow",$W18="")</formula>
    </cfRule>
  </conditionalFormatting>
  <conditionalFormatting sqref="L18">
    <cfRule type="expression" dxfId="70" priority="131">
      <formula>AND($M18="disallow",$W18="")</formula>
    </cfRule>
  </conditionalFormatting>
  <conditionalFormatting sqref="N53:N59">
    <cfRule type="expression" dxfId="69" priority="130">
      <formula>$N$60&lt;4</formula>
    </cfRule>
  </conditionalFormatting>
  <conditionalFormatting sqref="H18:K18">
    <cfRule type="expression" priority="424">
      <formula>AND(#REF!="disallow",$W18="")</formula>
    </cfRule>
  </conditionalFormatting>
  <conditionalFormatting sqref="H18:K18">
    <cfRule type="expression" dxfId="68" priority="428">
      <formula>AND(#REF!="disallow",$W18="")</formula>
    </cfRule>
  </conditionalFormatting>
  <conditionalFormatting sqref="G5:J5">
    <cfRule type="expression" dxfId="67" priority="36">
      <formula>$O$16&gt;0</formula>
    </cfRule>
  </conditionalFormatting>
  <conditionalFormatting sqref="A18:N18">
    <cfRule type="expression" dxfId="66" priority="35">
      <formula>$O18="disallow"</formula>
    </cfRule>
  </conditionalFormatting>
  <conditionalFormatting sqref="A19:A51">
    <cfRule type="expression" dxfId="65" priority="32">
      <formula>M19="disallow"</formula>
    </cfRule>
  </conditionalFormatting>
  <conditionalFormatting sqref="B19:D51">
    <cfRule type="expression" dxfId="64" priority="31">
      <formula>M19="disallow"</formula>
    </cfRule>
  </conditionalFormatting>
  <conditionalFormatting sqref="E19:G51">
    <cfRule type="expression" dxfId="63" priority="30">
      <formula>M19="disallow"</formula>
    </cfRule>
  </conditionalFormatting>
  <conditionalFormatting sqref="H19:K51">
    <cfRule type="expression" dxfId="62" priority="29">
      <formula>M19="disallow"</formula>
    </cfRule>
  </conditionalFormatting>
  <conditionalFormatting sqref="L19:L51">
    <cfRule type="expression" dxfId="61" priority="28">
      <formula>M19="disallow"</formula>
    </cfRule>
  </conditionalFormatting>
  <conditionalFormatting sqref="A19:A51">
    <cfRule type="expression" dxfId="60" priority="27">
      <formula>M19="disallow"</formula>
    </cfRule>
  </conditionalFormatting>
  <conditionalFormatting sqref="B19:D51">
    <cfRule type="expression" dxfId="59" priority="26">
      <formula>M19="disallow"</formula>
    </cfRule>
  </conditionalFormatting>
  <conditionalFormatting sqref="E19:G51">
    <cfRule type="expression" dxfId="58" priority="25">
      <formula>M19="disallow"</formula>
    </cfRule>
  </conditionalFormatting>
  <conditionalFormatting sqref="H19:K51">
    <cfRule type="expression" dxfId="57" priority="24">
      <formula>M19="disallow"</formula>
    </cfRule>
  </conditionalFormatting>
  <conditionalFormatting sqref="L19:L51">
    <cfRule type="expression" dxfId="56" priority="23">
      <formula>M19="disallow"</formula>
    </cfRule>
  </conditionalFormatting>
  <conditionalFormatting sqref="L19:L51">
    <cfRule type="expression" dxfId="55" priority="22">
      <formula>M19="disallow"</formula>
    </cfRule>
  </conditionalFormatting>
  <conditionalFormatting sqref="A19:A51">
    <cfRule type="expression" priority="21">
      <formula>AND($M19="disallow",$W19="")</formula>
    </cfRule>
  </conditionalFormatting>
  <conditionalFormatting sqref="B19:D51">
    <cfRule type="expression" priority="20">
      <formula>AND($M19="disallow",$W19="")</formula>
    </cfRule>
  </conditionalFormatting>
  <conditionalFormatting sqref="E19:G51">
    <cfRule type="expression" priority="19">
      <formula>AND($M19="disallow",$W19="")</formula>
    </cfRule>
  </conditionalFormatting>
  <conditionalFormatting sqref="L19:L51">
    <cfRule type="expression" priority="18">
      <formula>AND($M19="disallow",$W19="")</formula>
    </cfRule>
  </conditionalFormatting>
  <conditionalFormatting sqref="B19:D51">
    <cfRule type="expression" priority="17">
      <formula>AND($M19="disallow",$W19="")</formula>
    </cfRule>
  </conditionalFormatting>
  <conditionalFormatting sqref="E19:G51">
    <cfRule type="expression" priority="16">
      <formula>AND($M19="disallow",$W19="")</formula>
    </cfRule>
  </conditionalFormatting>
  <conditionalFormatting sqref="L19:L51">
    <cfRule type="expression" priority="15">
      <formula>AND($M19="disallow",$W19="")</formula>
    </cfRule>
  </conditionalFormatting>
  <conditionalFormatting sqref="A19:A51">
    <cfRule type="expression" priority="14">
      <formula>AND($M19="disallow",$W19="")</formula>
    </cfRule>
  </conditionalFormatting>
  <conditionalFormatting sqref="A19:A51">
    <cfRule type="expression" dxfId="54" priority="13">
      <formula>AND($M19="disallow",$W19="")</formula>
    </cfRule>
  </conditionalFormatting>
  <conditionalFormatting sqref="B19:D51">
    <cfRule type="expression" dxfId="53" priority="12">
      <formula>AND($M19="disallow",$W19="")</formula>
    </cfRule>
  </conditionalFormatting>
  <conditionalFormatting sqref="E19:G51">
    <cfRule type="expression" dxfId="52" priority="11">
      <formula>AND($M19="disallow",$W19="")</formula>
    </cfRule>
  </conditionalFormatting>
  <conditionalFormatting sqref="L19:L51">
    <cfRule type="expression" dxfId="51" priority="10">
      <formula>AND($M19="disallow",$W19="")</formula>
    </cfRule>
  </conditionalFormatting>
  <conditionalFormatting sqref="B19:D51">
    <cfRule type="expression" priority="9">
      <formula>AND($M19="disallow",$W19="")</formula>
    </cfRule>
  </conditionalFormatting>
  <conditionalFormatting sqref="E19:G51">
    <cfRule type="expression" priority="8">
      <formula>AND($M19="disallow",$W19="")</formula>
    </cfRule>
  </conditionalFormatting>
  <conditionalFormatting sqref="L19:L51">
    <cfRule type="expression" priority="7">
      <formula>AND($M19="disallow",$W19="")</formula>
    </cfRule>
  </conditionalFormatting>
  <conditionalFormatting sqref="A19:A51">
    <cfRule type="expression" priority="6">
      <formula>AND($M19="disallow",$W19="")</formula>
    </cfRule>
  </conditionalFormatting>
  <conditionalFormatting sqref="A19:A51">
    <cfRule type="expression" dxfId="50" priority="5">
      <formula>AND($M19="disallow",$W19="")</formula>
    </cfRule>
  </conditionalFormatting>
  <conditionalFormatting sqref="B19:D51">
    <cfRule type="expression" dxfId="49" priority="4">
      <formula>AND($M19="disallow",$W19="")</formula>
    </cfRule>
  </conditionalFormatting>
  <conditionalFormatting sqref="E19:G51">
    <cfRule type="expression" dxfId="48" priority="3">
      <formula>AND($M19="disallow",$W19="")</formula>
    </cfRule>
  </conditionalFormatting>
  <conditionalFormatting sqref="L19:L51">
    <cfRule type="expression" dxfId="47" priority="2">
      <formula>AND($M19="disallow",$W19="")</formula>
    </cfRule>
  </conditionalFormatting>
  <conditionalFormatting sqref="H19:K51">
    <cfRule type="expression" priority="33">
      <formula>AND(#REF!="disallow",$W19="")</formula>
    </cfRule>
  </conditionalFormatting>
  <conditionalFormatting sqref="H19:K51">
    <cfRule type="expression" dxfId="46" priority="34">
      <formula>AND(#REF!="disallow",$W19="")</formula>
    </cfRule>
  </conditionalFormatting>
  <conditionalFormatting sqref="A19:N51">
    <cfRule type="expression" dxfId="45" priority="1">
      <formula>$O19="disallow"</formula>
    </cfRule>
  </conditionalFormatting>
  <dataValidations count="2">
    <dataValidation operator="greaterThan" allowBlank="1" showInputMessage="1" showErrorMessage="1" prompt="Please enter a number instead of a word." sqref="L18:M51" xr:uid="{00000000-0002-0000-0D00-000000000000}"/>
    <dataValidation type="date" operator="greaterThan" allowBlank="1" showInputMessage="1" showErrorMessage="1" promptTitle="date format" prompt="Please enter date as formatted mm/dd/yy" sqref="A18:A51" xr:uid="{00000000-0002-0000-0D00-000001000000}">
      <formula1>40909</formula1>
    </dataValidation>
  </dataValidations>
  <pageMargins left="0.25" right="0.25" top="0.25" bottom="0.25" header="0.25" footer="0"/>
  <pageSetup scale="67" orientation="landscape" r:id="rId1"/>
  <headerFooter alignWithMargins="0">
    <oddHeader xml:space="preserve">&amp;L&amp;"Arial,Bold"&amp;14Capital Expense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Y57"/>
  <sheetViews>
    <sheetView view="pageBreakPreview" zoomScale="75" zoomScaleNormal="100" zoomScaleSheetLayoutView="75" workbookViewId="0">
      <selection activeCell="A17" sqref="A17"/>
    </sheetView>
  </sheetViews>
  <sheetFormatPr defaultRowHeight="12.75" x14ac:dyDescent="0.2"/>
  <cols>
    <col min="1" max="1" width="10.7109375" customWidth="1"/>
    <col min="2" max="2" width="7.42578125" style="16" customWidth="1"/>
    <col min="3" max="3" width="10.7109375" customWidth="1"/>
    <col min="4" max="4" width="14.28515625" customWidth="1"/>
    <col min="5" max="7" width="23.7109375" customWidth="1"/>
    <col min="8" max="11" width="10.7109375" customWidth="1"/>
    <col min="12" max="12" width="10.7109375" style="46" customWidth="1"/>
    <col min="13" max="13" width="4.42578125" style="53" customWidth="1"/>
    <col min="14" max="14" width="3.140625" style="53" customWidth="1"/>
    <col min="15" max="15" width="2" style="60" customWidth="1"/>
    <col min="21" max="22" width="9.140625" style="163" customWidth="1"/>
  </cols>
  <sheetData>
    <row r="1" spans="1:25" ht="23.25" x14ac:dyDescent="0.35">
      <c r="A1" s="101" t="s">
        <v>112</v>
      </c>
      <c r="C1" s="794" t="s">
        <v>690</v>
      </c>
      <c r="D1" s="795"/>
      <c r="J1" s="5" t="s">
        <v>80</v>
      </c>
      <c r="K1" s="4" t="str">
        <f>'Meals-Students'!F3</f>
        <v>No grocery receipts are required.</v>
      </c>
      <c r="L1" s="45"/>
      <c r="M1" s="54"/>
      <c r="N1" s="54"/>
      <c r="Q1" s="163"/>
      <c r="R1" s="163"/>
      <c r="S1" s="163"/>
    </row>
    <row r="2" spans="1:25" x14ac:dyDescent="0.2">
      <c r="C2" t="s">
        <v>113</v>
      </c>
      <c r="J2" s="5" t="s">
        <v>109</v>
      </c>
      <c r="K2" s="8">
        <f>'Meals-Students'!F8</f>
        <v>0</v>
      </c>
      <c r="P2" s="131"/>
      <c r="Q2" s="163"/>
      <c r="R2" s="163"/>
      <c r="S2" s="163"/>
      <c r="T2" s="131"/>
    </row>
    <row r="3" spans="1:25" x14ac:dyDescent="0.2">
      <c r="A3" s="802" t="s">
        <v>27</v>
      </c>
      <c r="B3" s="802"/>
      <c r="C3" s="802"/>
      <c r="D3" s="802"/>
      <c r="E3" s="802"/>
      <c r="F3" s="92"/>
      <c r="G3" s="92"/>
      <c r="H3" s="92"/>
      <c r="I3" s="92"/>
      <c r="J3" s="92"/>
      <c r="K3" s="92"/>
      <c r="L3" s="92"/>
      <c r="M3" s="92"/>
      <c r="N3" s="92"/>
      <c r="P3" s="131"/>
      <c r="Q3" s="324" t="s">
        <v>690</v>
      </c>
      <c r="R3" s="432" t="s">
        <v>691</v>
      </c>
      <c r="S3" s="324"/>
      <c r="T3" s="131"/>
    </row>
    <row r="4" spans="1:25" ht="12.75" customHeight="1" x14ac:dyDescent="0.2">
      <c r="A4" s="387"/>
      <c r="B4" s="388"/>
      <c r="C4" s="389"/>
      <c r="D4" s="390"/>
      <c r="E4" s="389"/>
      <c r="F4" s="360"/>
      <c r="G4" s="448" t="s">
        <v>1650</v>
      </c>
      <c r="H4" s="360"/>
      <c r="I4" s="360"/>
      <c r="J4" s="92"/>
      <c r="K4" s="360"/>
      <c r="L4" s="360"/>
      <c r="M4" s="360"/>
      <c r="N4" s="360"/>
      <c r="P4" s="131"/>
      <c r="Q4" s="324"/>
      <c r="R4" s="432"/>
      <c r="S4" s="324"/>
      <c r="T4" s="131"/>
    </row>
    <row r="5" spans="1:25" x14ac:dyDescent="0.2">
      <c r="A5" s="391"/>
      <c r="B5" s="392"/>
      <c r="C5" s="393"/>
      <c r="D5" s="394"/>
      <c r="E5" s="393"/>
      <c r="F5" s="360"/>
      <c r="G5" s="449" t="s">
        <v>1649</v>
      </c>
      <c r="H5" s="360"/>
      <c r="I5" s="360"/>
      <c r="J5" s="92"/>
      <c r="K5" s="360"/>
      <c r="L5" s="360"/>
      <c r="M5" s="360"/>
      <c r="N5" s="360"/>
      <c r="P5" s="131"/>
      <c r="Q5" s="324"/>
      <c r="R5" s="432"/>
      <c r="S5" s="324"/>
      <c r="T5" s="131"/>
    </row>
    <row r="6" spans="1:25" x14ac:dyDescent="0.2">
      <c r="A6" s="103"/>
      <c r="B6" s="104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P6" s="131"/>
      <c r="Q6" s="324"/>
      <c r="R6" s="432"/>
      <c r="S6" s="324"/>
      <c r="T6" s="131"/>
    </row>
    <row r="7" spans="1:25" ht="18" x14ac:dyDescent="0.25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787"/>
      <c r="K7" s="788"/>
      <c r="L7" s="789"/>
      <c r="M7" s="92"/>
      <c r="N7" s="92"/>
      <c r="P7" s="131"/>
      <c r="Q7" s="433" t="s">
        <v>65</v>
      </c>
      <c r="R7" s="324">
        <v>50101</v>
      </c>
      <c r="S7" s="324"/>
      <c r="T7" s="131"/>
    </row>
    <row r="8" spans="1:25" ht="18" customHeight="1" x14ac:dyDescent="0.25">
      <c r="A8" s="633"/>
      <c r="B8" s="634"/>
      <c r="C8" s="634"/>
      <c r="D8" s="634"/>
      <c r="E8" s="635"/>
      <c r="G8" s="658" t="s">
        <v>115</v>
      </c>
      <c r="H8" s="659"/>
      <c r="I8" s="660"/>
      <c r="J8" s="787"/>
      <c r="K8" s="788"/>
      <c r="L8" s="789"/>
      <c r="M8" s="92"/>
      <c r="N8" s="92"/>
      <c r="P8" s="131"/>
      <c r="Q8" s="433" t="s">
        <v>66</v>
      </c>
      <c r="R8" s="324">
        <v>50103</v>
      </c>
      <c r="S8" s="324"/>
      <c r="T8" s="131"/>
    </row>
    <row r="9" spans="1:25" ht="18" customHeight="1" x14ac:dyDescent="0.25">
      <c r="A9" s="633"/>
      <c r="B9" s="634"/>
      <c r="C9" s="634"/>
      <c r="D9" s="634"/>
      <c r="E9" s="635"/>
      <c r="G9" s="658" t="s">
        <v>116</v>
      </c>
      <c r="H9" s="659"/>
      <c r="I9" s="660"/>
      <c r="J9" s="787"/>
      <c r="K9" s="788"/>
      <c r="L9" s="789"/>
      <c r="M9" s="105"/>
      <c r="N9" s="105"/>
      <c r="P9" s="131"/>
      <c r="Q9" s="433" t="s">
        <v>68</v>
      </c>
      <c r="R9" s="324">
        <v>50105</v>
      </c>
      <c r="S9" s="324"/>
      <c r="T9" s="131"/>
    </row>
    <row r="10" spans="1:25" ht="18" x14ac:dyDescent="0.25">
      <c r="A10" s="633"/>
      <c r="B10" s="634"/>
      <c r="C10" s="634"/>
      <c r="D10" s="634"/>
      <c r="E10" s="635"/>
      <c r="G10" s="646"/>
      <c r="H10" s="647"/>
      <c r="I10" s="648"/>
      <c r="J10" s="787"/>
      <c r="K10" s="788"/>
      <c r="L10" s="789"/>
      <c r="M10" s="92"/>
      <c r="N10" s="92"/>
      <c r="P10" s="131"/>
      <c r="Q10" s="433" t="s">
        <v>70</v>
      </c>
      <c r="R10" s="434">
        <v>50109</v>
      </c>
      <c r="S10" s="324"/>
      <c r="T10" s="131"/>
    </row>
    <row r="11" spans="1:25" ht="18" x14ac:dyDescent="0.25">
      <c r="A11" s="633"/>
      <c r="B11" s="634"/>
      <c r="C11" s="634"/>
      <c r="D11" s="634"/>
      <c r="E11" s="635"/>
      <c r="G11" s="646"/>
      <c r="H11" s="647"/>
      <c r="I11" s="648"/>
      <c r="J11" s="787"/>
      <c r="K11" s="788"/>
      <c r="L11" s="789"/>
      <c r="M11" s="92"/>
      <c r="N11" s="92"/>
      <c r="P11" s="131"/>
      <c r="Q11" s="433" t="s">
        <v>69</v>
      </c>
      <c r="R11" s="434">
        <v>50107</v>
      </c>
      <c r="S11" s="324"/>
      <c r="T11" s="131"/>
    </row>
    <row r="12" spans="1:25" ht="18" x14ac:dyDescent="0.25">
      <c r="A12" s="636"/>
      <c r="B12" s="637"/>
      <c r="C12" s="637"/>
      <c r="D12" s="637"/>
      <c r="E12" s="638"/>
      <c r="G12" s="649"/>
      <c r="H12" s="650"/>
      <c r="I12" s="651"/>
      <c r="J12" s="799"/>
      <c r="K12" s="800"/>
      <c r="L12" s="801"/>
      <c r="M12" s="386"/>
      <c r="N12" s="92"/>
      <c r="P12" s="131"/>
      <c r="Q12" s="433" t="s">
        <v>71</v>
      </c>
      <c r="R12" s="434">
        <v>50111</v>
      </c>
      <c r="S12" s="324"/>
      <c r="T12" s="131"/>
    </row>
    <row r="13" spans="1:25" ht="18" x14ac:dyDescent="0.25">
      <c r="B13" s="75"/>
      <c r="E13" s="92"/>
      <c r="F13" s="92"/>
      <c r="G13" s="92"/>
      <c r="H13" s="92"/>
      <c r="I13" s="92"/>
      <c r="J13" s="92"/>
      <c r="K13" s="92"/>
      <c r="L13" s="92"/>
      <c r="M13" s="92"/>
      <c r="N13" s="92"/>
      <c r="Q13" s="433" t="s">
        <v>117</v>
      </c>
      <c r="R13" s="435">
        <v>50113</v>
      </c>
      <c r="S13" s="435"/>
      <c r="T13" s="213"/>
    </row>
    <row r="14" spans="1:25" ht="15" x14ac:dyDescent="0.2">
      <c r="A14" s="35" t="s">
        <v>28</v>
      </c>
      <c r="B14" s="1"/>
      <c r="C14" s="1"/>
      <c r="D14" s="1"/>
      <c r="E14" s="1"/>
      <c r="F14" s="1"/>
      <c r="G14" s="1"/>
      <c r="H14" s="671" t="s">
        <v>30</v>
      </c>
      <c r="I14" s="671"/>
      <c r="J14" s="671"/>
      <c r="K14" s="671"/>
      <c r="L14" s="87"/>
      <c r="P14" s="791" t="s">
        <v>186</v>
      </c>
      <c r="Q14" s="792"/>
      <c r="R14" s="792"/>
      <c r="S14" s="792"/>
      <c r="T14" s="793"/>
      <c r="U14" s="673" t="s">
        <v>288</v>
      </c>
      <c r="V14" s="790" t="s">
        <v>292</v>
      </c>
      <c r="W14" s="665" t="s">
        <v>507</v>
      </c>
      <c r="X14" s="665"/>
      <c r="Y14" s="665" t="s">
        <v>664</v>
      </c>
    </row>
    <row r="15" spans="1:25" ht="15" x14ac:dyDescent="0.2">
      <c r="A15" s="98" t="s">
        <v>104</v>
      </c>
      <c r="B15" s="798" t="s">
        <v>83</v>
      </c>
      <c r="C15" s="798"/>
      <c r="D15" s="798"/>
      <c r="E15" s="797" t="s">
        <v>29</v>
      </c>
      <c r="F15" s="797"/>
      <c r="G15" s="797"/>
      <c r="H15" s="797" t="s">
        <v>98</v>
      </c>
      <c r="I15" s="797"/>
      <c r="J15" s="797"/>
      <c r="K15" s="797"/>
      <c r="L15" s="88" t="s">
        <v>31</v>
      </c>
      <c r="M15" s="478">
        <f ca="1">COUNTIF(M17:M57,"disallow")</f>
        <v>0</v>
      </c>
      <c r="N15" s="54"/>
      <c r="O15" s="66"/>
      <c r="P15" s="167" t="s">
        <v>286</v>
      </c>
      <c r="Q15" s="672" t="s">
        <v>287</v>
      </c>
      <c r="R15" s="672"/>
      <c r="S15" s="672"/>
      <c r="T15" s="672"/>
      <c r="U15" s="674"/>
      <c r="V15" s="790"/>
      <c r="W15" s="666"/>
      <c r="X15" s="666"/>
      <c r="Y15" s="666"/>
    </row>
    <row r="16" spans="1:25" ht="15" hidden="1" customHeight="1" x14ac:dyDescent="0.2">
      <c r="A16" s="58"/>
      <c r="B16" s="796"/>
      <c r="C16" s="796"/>
      <c r="D16" s="796"/>
      <c r="E16" s="689"/>
      <c r="F16" s="689"/>
      <c r="G16" s="689"/>
      <c r="H16" s="689"/>
      <c r="I16" s="689"/>
      <c r="J16" s="689"/>
      <c r="K16" s="689"/>
      <c r="L16" s="61"/>
      <c r="M16" s="54" t="str">
        <f>IF(L16&gt;=75,"*"," ")</f>
        <v xml:space="preserve"> </v>
      </c>
      <c r="N16" s="54"/>
      <c r="O16" s="66" t="str">
        <f>IF(L16&gt;=75,L16," ")</f>
        <v xml:space="preserve"> </v>
      </c>
      <c r="P16" s="166"/>
      <c r="Q16" s="166"/>
      <c r="R16" s="166"/>
      <c r="S16" s="166"/>
      <c r="T16" s="166"/>
      <c r="U16" s="193"/>
      <c r="V16" s="194"/>
      <c r="W16" s="166"/>
      <c r="X16" s="166"/>
      <c r="Y16" s="166"/>
    </row>
    <row r="17" spans="1:25" x14ac:dyDescent="0.2">
      <c r="A17" s="494"/>
      <c r="B17" s="686"/>
      <c r="C17" s="687"/>
      <c r="D17" s="687"/>
      <c r="E17" s="686"/>
      <c r="F17" s="687"/>
      <c r="G17" s="687"/>
      <c r="H17" s="686"/>
      <c r="I17" s="687"/>
      <c r="J17" s="687"/>
      <c r="K17" s="687"/>
      <c r="L17" s="495"/>
      <c r="M17" s="272" t="str">
        <f t="shared" ref="M17:M50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/>
      </c>
      <c r="N17" s="273"/>
      <c r="O17" s="163" t="str">
        <f ca="1">IF(AND(L17&gt;=75,M17&lt;&gt;"disallow"),1," ")</f>
        <v xml:space="preserve"> </v>
      </c>
      <c r="P17" s="168"/>
      <c r="Q17" s="629"/>
      <c r="R17" s="629"/>
      <c r="S17" s="629"/>
      <c r="T17" s="629"/>
      <c r="U17" s="192"/>
      <c r="V17" s="194">
        <f ca="1">IF(AND(M17="disallow",W17=0),L17,0)</f>
        <v>0</v>
      </c>
      <c r="W17" s="168"/>
      <c r="X17" s="178">
        <f>IF(W17&gt;0,-U17,0)</f>
        <v>0</v>
      </c>
      <c r="Y17" s="166">
        <f t="shared" ref="Y17:Y50" si="1">IF(AND(A17&lt;Fiscal_Start_Date,submit_date-A17&lt;90,submit_date&gt;=0),L17,0)</f>
        <v>0</v>
      </c>
    </row>
    <row r="18" spans="1:25" x14ac:dyDescent="0.2">
      <c r="A18" s="494"/>
      <c r="B18" s="686"/>
      <c r="C18" s="687"/>
      <c r="D18" s="687"/>
      <c r="E18" s="686"/>
      <c r="F18" s="687"/>
      <c r="G18" s="687"/>
      <c r="H18" s="686"/>
      <c r="I18" s="687"/>
      <c r="J18" s="687"/>
      <c r="K18" s="687"/>
      <c r="L18" s="495"/>
      <c r="M18" s="164" t="str">
        <f t="shared" ca="1" si="0"/>
        <v/>
      </c>
      <c r="N18" s="161"/>
      <c r="O18" s="163" t="str">
        <f t="shared" ref="O18:O50" ca="1" si="2">IF(AND(L18&gt;=75,M18&lt;&gt;"disallow"),1," ")</f>
        <v xml:space="preserve"> </v>
      </c>
      <c r="P18" s="168"/>
      <c r="Q18" s="629"/>
      <c r="R18" s="629"/>
      <c r="S18" s="629"/>
      <c r="T18" s="629"/>
      <c r="U18" s="192"/>
      <c r="V18" s="194">
        <f t="shared" ref="V18:V50" ca="1" si="3">IF(AND(M18="disallow",W18=0),L18,0)</f>
        <v>0</v>
      </c>
      <c r="W18" s="168"/>
      <c r="X18" s="178">
        <f t="shared" ref="X18:X50" si="4">IF(W18&gt;0,-U18,0)</f>
        <v>0</v>
      </c>
      <c r="Y18" s="166">
        <f t="shared" si="1"/>
        <v>0</v>
      </c>
    </row>
    <row r="19" spans="1:25" x14ac:dyDescent="0.2">
      <c r="A19" s="494"/>
      <c r="B19" s="686"/>
      <c r="C19" s="687"/>
      <c r="D19" s="687"/>
      <c r="E19" s="686"/>
      <c r="F19" s="687"/>
      <c r="G19" s="687"/>
      <c r="H19" s="686"/>
      <c r="I19" s="687"/>
      <c r="J19" s="687"/>
      <c r="K19" s="687"/>
      <c r="L19" s="495"/>
      <c r="M19" s="164" t="str">
        <f t="shared" ca="1" si="0"/>
        <v/>
      </c>
      <c r="N19" s="161"/>
      <c r="O19" s="163" t="str">
        <f t="shared" ca="1" si="2"/>
        <v xml:space="preserve"> </v>
      </c>
      <c r="P19" s="168"/>
      <c r="Q19" s="629"/>
      <c r="R19" s="629"/>
      <c r="S19" s="629"/>
      <c r="T19" s="629"/>
      <c r="U19" s="192"/>
      <c r="V19" s="194">
        <f t="shared" ca="1" si="3"/>
        <v>0</v>
      </c>
      <c r="W19" s="168"/>
      <c r="X19" s="178">
        <f t="shared" si="4"/>
        <v>0</v>
      </c>
      <c r="Y19" s="166">
        <f t="shared" si="1"/>
        <v>0</v>
      </c>
    </row>
    <row r="20" spans="1:25" x14ac:dyDescent="0.2">
      <c r="A20" s="494"/>
      <c r="B20" s="686"/>
      <c r="C20" s="687"/>
      <c r="D20" s="687"/>
      <c r="E20" s="686"/>
      <c r="F20" s="687"/>
      <c r="G20" s="687"/>
      <c r="H20" s="686"/>
      <c r="I20" s="687"/>
      <c r="J20" s="687"/>
      <c r="K20" s="687"/>
      <c r="L20" s="495"/>
      <c r="M20" s="164" t="str">
        <f t="shared" ca="1" si="0"/>
        <v/>
      </c>
      <c r="N20" s="161"/>
      <c r="O20" s="163" t="str">
        <f t="shared" ca="1" si="2"/>
        <v xml:space="preserve"> </v>
      </c>
      <c r="P20" s="168"/>
      <c r="Q20" s="629"/>
      <c r="R20" s="629"/>
      <c r="S20" s="629"/>
      <c r="T20" s="629"/>
      <c r="U20" s="192"/>
      <c r="V20" s="194">
        <f t="shared" ca="1" si="3"/>
        <v>0</v>
      </c>
      <c r="W20" s="168"/>
      <c r="X20" s="178">
        <f t="shared" si="4"/>
        <v>0</v>
      </c>
      <c r="Y20" s="166">
        <f t="shared" si="1"/>
        <v>0</v>
      </c>
    </row>
    <row r="21" spans="1:25" x14ac:dyDescent="0.2">
      <c r="A21" s="494"/>
      <c r="B21" s="686"/>
      <c r="C21" s="687"/>
      <c r="D21" s="687"/>
      <c r="E21" s="686"/>
      <c r="F21" s="687"/>
      <c r="G21" s="687"/>
      <c r="H21" s="686"/>
      <c r="I21" s="687"/>
      <c r="J21" s="687"/>
      <c r="K21" s="687"/>
      <c r="L21" s="495"/>
      <c r="M21" s="164" t="str">
        <f t="shared" ca="1" si="0"/>
        <v/>
      </c>
      <c r="N21" s="161"/>
      <c r="O21" s="163" t="str">
        <f t="shared" ca="1" si="2"/>
        <v xml:space="preserve"> </v>
      </c>
      <c r="P21" s="168"/>
      <c r="Q21" s="629"/>
      <c r="R21" s="629"/>
      <c r="S21" s="629"/>
      <c r="T21" s="629"/>
      <c r="U21" s="192"/>
      <c r="V21" s="194">
        <f t="shared" ca="1" si="3"/>
        <v>0</v>
      </c>
      <c r="W21" s="168"/>
      <c r="X21" s="178">
        <f t="shared" si="4"/>
        <v>0</v>
      </c>
      <c r="Y21" s="166">
        <f t="shared" si="1"/>
        <v>0</v>
      </c>
    </row>
    <row r="22" spans="1:25" x14ac:dyDescent="0.2">
      <c r="A22" s="494"/>
      <c r="B22" s="686"/>
      <c r="C22" s="687"/>
      <c r="D22" s="687"/>
      <c r="E22" s="686"/>
      <c r="F22" s="687"/>
      <c r="G22" s="687"/>
      <c r="H22" s="686"/>
      <c r="I22" s="687"/>
      <c r="J22" s="687"/>
      <c r="K22" s="687"/>
      <c r="L22" s="495"/>
      <c r="M22" s="164" t="str">
        <f t="shared" ca="1" si="0"/>
        <v/>
      </c>
      <c r="N22" s="161"/>
      <c r="O22" s="163" t="str">
        <f t="shared" ca="1" si="2"/>
        <v xml:space="preserve"> </v>
      </c>
      <c r="P22" s="168"/>
      <c r="Q22" s="629"/>
      <c r="R22" s="629"/>
      <c r="S22" s="629"/>
      <c r="T22" s="629"/>
      <c r="U22" s="192"/>
      <c r="V22" s="194">
        <f t="shared" ca="1" si="3"/>
        <v>0</v>
      </c>
      <c r="W22" s="178"/>
      <c r="X22" s="178">
        <f t="shared" si="4"/>
        <v>0</v>
      </c>
      <c r="Y22" s="166">
        <f t="shared" si="1"/>
        <v>0</v>
      </c>
    </row>
    <row r="23" spans="1:25" x14ac:dyDescent="0.2">
      <c r="A23" s="494"/>
      <c r="B23" s="686"/>
      <c r="C23" s="687"/>
      <c r="D23" s="687"/>
      <c r="E23" s="686"/>
      <c r="F23" s="687"/>
      <c r="G23" s="687"/>
      <c r="H23" s="686"/>
      <c r="I23" s="687"/>
      <c r="J23" s="687"/>
      <c r="K23" s="687"/>
      <c r="L23" s="495"/>
      <c r="M23" s="164" t="str">
        <f t="shared" ca="1" si="0"/>
        <v/>
      </c>
      <c r="N23" s="161"/>
      <c r="O23" s="163" t="str">
        <f t="shared" ca="1" si="2"/>
        <v xml:space="preserve"> </v>
      </c>
      <c r="P23" s="168"/>
      <c r="Q23" s="629"/>
      <c r="R23" s="629"/>
      <c r="S23" s="629"/>
      <c r="T23" s="629"/>
      <c r="U23" s="192"/>
      <c r="V23" s="194">
        <f t="shared" ca="1" si="3"/>
        <v>0</v>
      </c>
      <c r="W23" s="178"/>
      <c r="X23" s="178">
        <f t="shared" si="4"/>
        <v>0</v>
      </c>
      <c r="Y23" s="166">
        <f t="shared" si="1"/>
        <v>0</v>
      </c>
    </row>
    <row r="24" spans="1:25" x14ac:dyDescent="0.2">
      <c r="A24" s="494"/>
      <c r="B24" s="686"/>
      <c r="C24" s="687"/>
      <c r="D24" s="687"/>
      <c r="E24" s="686"/>
      <c r="F24" s="687"/>
      <c r="G24" s="687"/>
      <c r="H24" s="686"/>
      <c r="I24" s="687"/>
      <c r="J24" s="687"/>
      <c r="K24" s="687"/>
      <c r="L24" s="495"/>
      <c r="M24" s="164" t="str">
        <f t="shared" ca="1" si="0"/>
        <v/>
      </c>
      <c r="N24" s="161"/>
      <c r="O24" s="163" t="str">
        <f t="shared" ca="1" si="2"/>
        <v xml:space="preserve"> </v>
      </c>
      <c r="P24" s="169"/>
      <c r="Q24" s="629"/>
      <c r="R24" s="629"/>
      <c r="S24" s="629"/>
      <c r="T24" s="629"/>
      <c r="U24" s="192"/>
      <c r="V24" s="194">
        <f t="shared" ca="1" si="3"/>
        <v>0</v>
      </c>
      <c r="W24" s="178"/>
      <c r="X24" s="178">
        <f t="shared" si="4"/>
        <v>0</v>
      </c>
      <c r="Y24" s="166">
        <f t="shared" si="1"/>
        <v>0</v>
      </c>
    </row>
    <row r="25" spans="1:25" x14ac:dyDescent="0.2">
      <c r="A25" s="494"/>
      <c r="B25" s="686"/>
      <c r="C25" s="687"/>
      <c r="D25" s="687"/>
      <c r="E25" s="686"/>
      <c r="F25" s="687"/>
      <c r="G25" s="687"/>
      <c r="H25" s="686"/>
      <c r="I25" s="687"/>
      <c r="J25" s="687"/>
      <c r="K25" s="687"/>
      <c r="L25" s="495"/>
      <c r="M25" s="164" t="str">
        <f t="shared" ca="1" si="0"/>
        <v/>
      </c>
      <c r="N25" s="161"/>
      <c r="O25" s="163" t="str">
        <f t="shared" ca="1" si="2"/>
        <v xml:space="preserve"> </v>
      </c>
      <c r="P25" s="168"/>
      <c r="Q25" s="629"/>
      <c r="R25" s="629"/>
      <c r="S25" s="629"/>
      <c r="T25" s="629"/>
      <c r="U25" s="192"/>
      <c r="V25" s="194">
        <f t="shared" ca="1" si="3"/>
        <v>0</v>
      </c>
      <c r="W25" s="178"/>
      <c r="X25" s="178">
        <f t="shared" si="4"/>
        <v>0</v>
      </c>
      <c r="Y25" s="166">
        <f t="shared" si="1"/>
        <v>0</v>
      </c>
    </row>
    <row r="26" spans="1:25" x14ac:dyDescent="0.2">
      <c r="A26" s="494"/>
      <c r="B26" s="686"/>
      <c r="C26" s="687"/>
      <c r="D26" s="687"/>
      <c r="E26" s="686"/>
      <c r="F26" s="687"/>
      <c r="G26" s="687"/>
      <c r="H26" s="686"/>
      <c r="I26" s="687"/>
      <c r="J26" s="687"/>
      <c r="K26" s="687"/>
      <c r="L26" s="495"/>
      <c r="M26" s="164" t="str">
        <f t="shared" ca="1" si="0"/>
        <v/>
      </c>
      <c r="N26" s="161"/>
      <c r="O26" s="163" t="str">
        <f t="shared" ca="1" si="2"/>
        <v xml:space="preserve"> </v>
      </c>
      <c r="P26" s="168"/>
      <c r="Q26" s="629"/>
      <c r="R26" s="629"/>
      <c r="S26" s="629"/>
      <c r="T26" s="629"/>
      <c r="U26" s="192"/>
      <c r="V26" s="194">
        <f t="shared" ca="1" si="3"/>
        <v>0</v>
      </c>
      <c r="W26" s="178"/>
      <c r="X26" s="178">
        <f t="shared" si="4"/>
        <v>0</v>
      </c>
      <c r="Y26" s="166">
        <f t="shared" si="1"/>
        <v>0</v>
      </c>
    </row>
    <row r="27" spans="1:25" x14ac:dyDescent="0.2">
      <c r="A27" s="494"/>
      <c r="B27" s="686"/>
      <c r="C27" s="687"/>
      <c r="D27" s="687"/>
      <c r="E27" s="686"/>
      <c r="F27" s="687"/>
      <c r="G27" s="687"/>
      <c r="H27" s="686"/>
      <c r="I27" s="687"/>
      <c r="J27" s="687"/>
      <c r="K27" s="687"/>
      <c r="L27" s="495"/>
      <c r="M27" s="164" t="str">
        <f t="shared" ca="1" si="0"/>
        <v/>
      </c>
      <c r="N27" s="161"/>
      <c r="O27" s="163" t="str">
        <f t="shared" ca="1" si="2"/>
        <v xml:space="preserve"> </v>
      </c>
      <c r="P27" s="168"/>
      <c r="Q27" s="629"/>
      <c r="R27" s="629"/>
      <c r="S27" s="629"/>
      <c r="T27" s="629"/>
      <c r="U27" s="192"/>
      <c r="V27" s="194">
        <f t="shared" ca="1" si="3"/>
        <v>0</v>
      </c>
      <c r="W27" s="178"/>
      <c r="X27" s="178">
        <f t="shared" si="4"/>
        <v>0</v>
      </c>
      <c r="Y27" s="166">
        <f t="shared" si="1"/>
        <v>0</v>
      </c>
    </row>
    <row r="28" spans="1:25" x14ac:dyDescent="0.2">
      <c r="A28" s="494"/>
      <c r="B28" s="686"/>
      <c r="C28" s="687"/>
      <c r="D28" s="687"/>
      <c r="E28" s="686"/>
      <c r="F28" s="687"/>
      <c r="G28" s="687"/>
      <c r="H28" s="686"/>
      <c r="I28" s="687"/>
      <c r="J28" s="687"/>
      <c r="K28" s="687"/>
      <c r="L28" s="495"/>
      <c r="M28" s="164" t="str">
        <f t="shared" ref="M28:M33" ca="1" si="5">IF(A28&gt;0,IF(submit_date&gt;0,IF(submit_date-A28&gt;60,"disallow",IF(L28&gt;=75,IF(AND(N28="",TODAY()-submit_date&gt;30),"disallow","*")," ")),IF(TODAY()-A28&gt;60,"disallow",IF(L28&gt;=75,IF(AND(N28="",TODAY()-submit_date&gt;30),"disallow","*")," "))),IF(L28&gt;=75,IF(AND(N28="",TODAY()-submit_date&gt;30),"disallow","*"),""))</f>
        <v/>
      </c>
      <c r="N28" s="161"/>
      <c r="O28" s="163" t="str">
        <f t="shared" ref="O28:O33" ca="1" si="6">IF(AND(L28&gt;=75,M28&lt;&gt;"disallow"),1," ")</f>
        <v xml:space="preserve"> </v>
      </c>
      <c r="P28" s="168"/>
      <c r="Q28" s="629"/>
      <c r="R28" s="629"/>
      <c r="S28" s="629"/>
      <c r="T28" s="629"/>
      <c r="U28" s="192"/>
      <c r="V28" s="194">
        <f t="shared" ref="V28:V33" ca="1" si="7">IF(AND(M28="disallow",W28=0),L28,0)</f>
        <v>0</v>
      </c>
      <c r="W28" s="178"/>
      <c r="X28" s="178">
        <f t="shared" ref="X28:X33" si="8">IF(W28&gt;0,-U28,0)</f>
        <v>0</v>
      </c>
      <c r="Y28" s="166">
        <f t="shared" ref="Y28:Y33" si="9">IF(AND(A28&lt;Fiscal_Start_Date,submit_date-A28&lt;90,submit_date&gt;=0),L28,0)</f>
        <v>0</v>
      </c>
    </row>
    <row r="29" spans="1:25" x14ac:dyDescent="0.2">
      <c r="A29" s="494"/>
      <c r="B29" s="686"/>
      <c r="C29" s="687"/>
      <c r="D29" s="687"/>
      <c r="E29" s="686"/>
      <c r="F29" s="687"/>
      <c r="G29" s="687"/>
      <c r="H29" s="686"/>
      <c r="I29" s="687"/>
      <c r="J29" s="687"/>
      <c r="K29" s="687"/>
      <c r="L29" s="495"/>
      <c r="M29" s="164" t="str">
        <f t="shared" ca="1" si="5"/>
        <v/>
      </c>
      <c r="N29" s="161"/>
      <c r="O29" s="163" t="str">
        <f t="shared" ca="1" si="6"/>
        <v xml:space="preserve"> </v>
      </c>
      <c r="P29" s="168"/>
      <c r="Q29" s="629"/>
      <c r="R29" s="629"/>
      <c r="S29" s="629"/>
      <c r="T29" s="629"/>
      <c r="U29" s="192"/>
      <c r="V29" s="194">
        <f t="shared" ca="1" si="7"/>
        <v>0</v>
      </c>
      <c r="W29" s="178"/>
      <c r="X29" s="178">
        <f t="shared" si="8"/>
        <v>0</v>
      </c>
      <c r="Y29" s="166">
        <f t="shared" si="9"/>
        <v>0</v>
      </c>
    </row>
    <row r="30" spans="1:25" x14ac:dyDescent="0.2">
      <c r="A30" s="494"/>
      <c r="B30" s="686"/>
      <c r="C30" s="687"/>
      <c r="D30" s="687"/>
      <c r="E30" s="686"/>
      <c r="F30" s="687"/>
      <c r="G30" s="687"/>
      <c r="H30" s="686"/>
      <c r="I30" s="687"/>
      <c r="J30" s="687"/>
      <c r="K30" s="687"/>
      <c r="L30" s="495"/>
      <c r="M30" s="164" t="str">
        <f t="shared" ca="1" si="5"/>
        <v/>
      </c>
      <c r="N30" s="161"/>
      <c r="O30" s="163" t="str">
        <f t="shared" ca="1" si="6"/>
        <v xml:space="preserve"> </v>
      </c>
      <c r="P30" s="169"/>
      <c r="Q30" s="629"/>
      <c r="R30" s="629"/>
      <c r="S30" s="629"/>
      <c r="T30" s="629"/>
      <c r="U30" s="192"/>
      <c r="V30" s="194">
        <f t="shared" ca="1" si="7"/>
        <v>0</v>
      </c>
      <c r="W30" s="178"/>
      <c r="X30" s="178">
        <f t="shared" si="8"/>
        <v>0</v>
      </c>
      <c r="Y30" s="166">
        <f t="shared" si="9"/>
        <v>0</v>
      </c>
    </row>
    <row r="31" spans="1:25" x14ac:dyDescent="0.2">
      <c r="A31" s="494"/>
      <c r="B31" s="686"/>
      <c r="C31" s="687"/>
      <c r="D31" s="687"/>
      <c r="E31" s="686"/>
      <c r="F31" s="687"/>
      <c r="G31" s="687"/>
      <c r="H31" s="686"/>
      <c r="I31" s="687"/>
      <c r="J31" s="687"/>
      <c r="K31" s="687"/>
      <c r="L31" s="495"/>
      <c r="M31" s="164" t="str">
        <f t="shared" ca="1" si="5"/>
        <v/>
      </c>
      <c r="N31" s="161"/>
      <c r="O31" s="163" t="str">
        <f t="shared" ca="1" si="6"/>
        <v xml:space="preserve"> </v>
      </c>
      <c r="P31" s="168"/>
      <c r="Q31" s="629"/>
      <c r="R31" s="629"/>
      <c r="S31" s="629"/>
      <c r="T31" s="629"/>
      <c r="U31" s="192"/>
      <c r="V31" s="194">
        <f t="shared" ca="1" si="7"/>
        <v>0</v>
      </c>
      <c r="W31" s="178"/>
      <c r="X31" s="178">
        <f t="shared" si="8"/>
        <v>0</v>
      </c>
      <c r="Y31" s="166">
        <f t="shared" si="9"/>
        <v>0</v>
      </c>
    </row>
    <row r="32" spans="1:25" x14ac:dyDescent="0.2">
      <c r="A32" s="494"/>
      <c r="B32" s="686"/>
      <c r="C32" s="687"/>
      <c r="D32" s="687"/>
      <c r="E32" s="686"/>
      <c r="F32" s="687"/>
      <c r="G32" s="687"/>
      <c r="H32" s="686"/>
      <c r="I32" s="687"/>
      <c r="J32" s="687"/>
      <c r="K32" s="687"/>
      <c r="L32" s="495"/>
      <c r="M32" s="164" t="str">
        <f t="shared" ca="1" si="5"/>
        <v/>
      </c>
      <c r="N32" s="161"/>
      <c r="O32" s="163" t="str">
        <f t="shared" ca="1" si="6"/>
        <v xml:space="preserve"> </v>
      </c>
      <c r="P32" s="168"/>
      <c r="Q32" s="629"/>
      <c r="R32" s="629"/>
      <c r="S32" s="629"/>
      <c r="T32" s="629"/>
      <c r="U32" s="192"/>
      <c r="V32" s="194">
        <f t="shared" ca="1" si="7"/>
        <v>0</v>
      </c>
      <c r="W32" s="178"/>
      <c r="X32" s="178">
        <f t="shared" si="8"/>
        <v>0</v>
      </c>
      <c r="Y32" s="166">
        <f t="shared" si="9"/>
        <v>0</v>
      </c>
    </row>
    <row r="33" spans="1:25" x14ac:dyDescent="0.2">
      <c r="A33" s="494"/>
      <c r="B33" s="686"/>
      <c r="C33" s="687"/>
      <c r="D33" s="687"/>
      <c r="E33" s="686"/>
      <c r="F33" s="687"/>
      <c r="G33" s="687"/>
      <c r="H33" s="686"/>
      <c r="I33" s="687"/>
      <c r="J33" s="687"/>
      <c r="K33" s="687"/>
      <c r="L33" s="495"/>
      <c r="M33" s="164" t="str">
        <f t="shared" ca="1" si="5"/>
        <v/>
      </c>
      <c r="N33" s="161"/>
      <c r="O33" s="163" t="str">
        <f t="shared" ca="1" si="6"/>
        <v xml:space="preserve"> </v>
      </c>
      <c r="P33" s="168"/>
      <c r="Q33" s="629"/>
      <c r="R33" s="629"/>
      <c r="S33" s="629"/>
      <c r="T33" s="629"/>
      <c r="U33" s="192"/>
      <c r="V33" s="194">
        <f t="shared" ca="1" si="7"/>
        <v>0</v>
      </c>
      <c r="W33" s="178"/>
      <c r="X33" s="178">
        <f t="shared" si="8"/>
        <v>0</v>
      </c>
      <c r="Y33" s="166">
        <f t="shared" si="9"/>
        <v>0</v>
      </c>
    </row>
    <row r="34" spans="1:25" x14ac:dyDescent="0.2">
      <c r="A34" s="494"/>
      <c r="B34" s="686"/>
      <c r="C34" s="687"/>
      <c r="D34" s="687"/>
      <c r="E34" s="686"/>
      <c r="F34" s="687"/>
      <c r="G34" s="687"/>
      <c r="H34" s="686"/>
      <c r="I34" s="687"/>
      <c r="J34" s="687"/>
      <c r="K34" s="687"/>
      <c r="L34" s="495"/>
      <c r="M34" s="164" t="str">
        <f t="shared" ca="1" si="0"/>
        <v/>
      </c>
      <c r="N34" s="161"/>
      <c r="O34" s="163" t="str">
        <f t="shared" ca="1" si="2"/>
        <v xml:space="preserve"> </v>
      </c>
      <c r="P34" s="168"/>
      <c r="Q34" s="629"/>
      <c r="R34" s="629"/>
      <c r="S34" s="629"/>
      <c r="T34" s="629"/>
      <c r="U34" s="192"/>
      <c r="V34" s="194">
        <f t="shared" ca="1" si="3"/>
        <v>0</v>
      </c>
      <c r="W34" s="178"/>
      <c r="X34" s="178">
        <f t="shared" si="4"/>
        <v>0</v>
      </c>
      <c r="Y34" s="166">
        <f t="shared" si="1"/>
        <v>0</v>
      </c>
    </row>
    <row r="35" spans="1:25" x14ac:dyDescent="0.2">
      <c r="A35" s="494"/>
      <c r="B35" s="686"/>
      <c r="C35" s="687"/>
      <c r="D35" s="687"/>
      <c r="E35" s="686"/>
      <c r="F35" s="687"/>
      <c r="G35" s="687"/>
      <c r="H35" s="686"/>
      <c r="I35" s="687"/>
      <c r="J35" s="687"/>
      <c r="K35" s="687"/>
      <c r="L35" s="495"/>
      <c r="M35" s="164" t="str">
        <f t="shared" ca="1" si="0"/>
        <v/>
      </c>
      <c r="N35" s="161"/>
      <c r="O35" s="163" t="str">
        <f t="shared" ca="1" si="2"/>
        <v xml:space="preserve"> </v>
      </c>
      <c r="P35" s="168"/>
      <c r="Q35" s="629"/>
      <c r="R35" s="629"/>
      <c r="S35" s="629"/>
      <c r="T35" s="629"/>
      <c r="U35" s="192"/>
      <c r="V35" s="194">
        <f t="shared" ca="1" si="3"/>
        <v>0</v>
      </c>
      <c r="W35" s="178"/>
      <c r="X35" s="178">
        <f t="shared" si="4"/>
        <v>0</v>
      </c>
      <c r="Y35" s="166">
        <f t="shared" si="1"/>
        <v>0</v>
      </c>
    </row>
    <row r="36" spans="1:25" x14ac:dyDescent="0.2">
      <c r="A36" s="494"/>
      <c r="B36" s="686"/>
      <c r="C36" s="687"/>
      <c r="D36" s="687"/>
      <c r="E36" s="686"/>
      <c r="F36" s="687"/>
      <c r="G36" s="687"/>
      <c r="H36" s="686"/>
      <c r="I36" s="687"/>
      <c r="J36" s="687"/>
      <c r="K36" s="687"/>
      <c r="L36" s="495"/>
      <c r="M36" s="164" t="str">
        <f t="shared" ca="1" si="0"/>
        <v/>
      </c>
      <c r="N36" s="161"/>
      <c r="O36" s="163" t="str">
        <f t="shared" ca="1" si="2"/>
        <v xml:space="preserve"> </v>
      </c>
      <c r="P36" s="169"/>
      <c r="Q36" s="629"/>
      <c r="R36" s="629"/>
      <c r="S36" s="629"/>
      <c r="T36" s="629"/>
      <c r="U36" s="192"/>
      <c r="V36" s="194">
        <f t="shared" ca="1" si="3"/>
        <v>0</v>
      </c>
      <c r="W36" s="178"/>
      <c r="X36" s="178">
        <f t="shared" si="4"/>
        <v>0</v>
      </c>
      <c r="Y36" s="166">
        <f t="shared" si="1"/>
        <v>0</v>
      </c>
    </row>
    <row r="37" spans="1:25" x14ac:dyDescent="0.2">
      <c r="A37" s="494"/>
      <c r="B37" s="686"/>
      <c r="C37" s="687"/>
      <c r="D37" s="687"/>
      <c r="E37" s="686"/>
      <c r="F37" s="687"/>
      <c r="G37" s="687"/>
      <c r="H37" s="686"/>
      <c r="I37" s="687"/>
      <c r="J37" s="687"/>
      <c r="K37" s="687"/>
      <c r="L37" s="495"/>
      <c r="M37" s="164" t="str">
        <f t="shared" ca="1" si="0"/>
        <v/>
      </c>
      <c r="N37" s="161"/>
      <c r="O37" s="163" t="str">
        <f t="shared" ca="1" si="2"/>
        <v xml:space="preserve"> </v>
      </c>
      <c r="P37" s="168"/>
      <c r="Q37" s="629"/>
      <c r="R37" s="629"/>
      <c r="S37" s="629"/>
      <c r="T37" s="629"/>
      <c r="U37" s="192"/>
      <c r="V37" s="194">
        <f t="shared" ca="1" si="3"/>
        <v>0</v>
      </c>
      <c r="W37" s="178"/>
      <c r="X37" s="178">
        <f t="shared" si="4"/>
        <v>0</v>
      </c>
      <c r="Y37" s="166">
        <f t="shared" si="1"/>
        <v>0</v>
      </c>
    </row>
    <row r="38" spans="1:25" x14ac:dyDescent="0.2">
      <c r="A38" s="494"/>
      <c r="B38" s="686"/>
      <c r="C38" s="687"/>
      <c r="D38" s="687"/>
      <c r="E38" s="686"/>
      <c r="F38" s="687"/>
      <c r="G38" s="687"/>
      <c r="H38" s="686"/>
      <c r="I38" s="687"/>
      <c r="J38" s="687"/>
      <c r="K38" s="687"/>
      <c r="L38" s="495"/>
      <c r="M38" s="164" t="str">
        <f t="shared" ca="1" si="0"/>
        <v/>
      </c>
      <c r="N38" s="161"/>
      <c r="O38" s="163" t="str">
        <f t="shared" ca="1" si="2"/>
        <v xml:space="preserve"> </v>
      </c>
      <c r="P38" s="168"/>
      <c r="Q38" s="629"/>
      <c r="R38" s="629"/>
      <c r="S38" s="629"/>
      <c r="T38" s="629"/>
      <c r="U38" s="192"/>
      <c r="V38" s="194">
        <f t="shared" ca="1" si="3"/>
        <v>0</v>
      </c>
      <c r="W38" s="178"/>
      <c r="X38" s="178">
        <f t="shared" si="4"/>
        <v>0</v>
      </c>
      <c r="Y38" s="166">
        <f t="shared" si="1"/>
        <v>0</v>
      </c>
    </row>
    <row r="39" spans="1:25" x14ac:dyDescent="0.2">
      <c r="A39" s="494"/>
      <c r="B39" s="686"/>
      <c r="C39" s="687"/>
      <c r="D39" s="687"/>
      <c r="E39" s="686"/>
      <c r="F39" s="687"/>
      <c r="G39" s="687"/>
      <c r="H39" s="686"/>
      <c r="I39" s="687"/>
      <c r="J39" s="687"/>
      <c r="K39" s="687"/>
      <c r="L39" s="495"/>
      <c r="M39" s="164" t="str">
        <f t="shared" ca="1" si="0"/>
        <v/>
      </c>
      <c r="N39" s="161"/>
      <c r="O39" s="163" t="str">
        <f t="shared" ca="1" si="2"/>
        <v xml:space="preserve"> </v>
      </c>
      <c r="P39" s="168"/>
      <c r="Q39" s="629"/>
      <c r="R39" s="629"/>
      <c r="S39" s="629"/>
      <c r="T39" s="629"/>
      <c r="U39" s="192"/>
      <c r="V39" s="194">
        <f t="shared" ca="1" si="3"/>
        <v>0</v>
      </c>
      <c r="W39" s="178"/>
      <c r="X39" s="178">
        <f t="shared" si="4"/>
        <v>0</v>
      </c>
      <c r="Y39" s="166">
        <f t="shared" si="1"/>
        <v>0</v>
      </c>
    </row>
    <row r="40" spans="1:25" x14ac:dyDescent="0.2">
      <c r="A40" s="494"/>
      <c r="B40" s="686"/>
      <c r="C40" s="687"/>
      <c r="D40" s="687"/>
      <c r="E40" s="686"/>
      <c r="F40" s="687"/>
      <c r="G40" s="687"/>
      <c r="H40" s="686"/>
      <c r="I40" s="687"/>
      <c r="J40" s="687"/>
      <c r="K40" s="687"/>
      <c r="L40" s="495"/>
      <c r="M40" s="164" t="str">
        <f t="shared" ca="1" si="0"/>
        <v/>
      </c>
      <c r="N40" s="161"/>
      <c r="O40" s="163" t="str">
        <f t="shared" ca="1" si="2"/>
        <v xml:space="preserve"> </v>
      </c>
      <c r="P40" s="168"/>
      <c r="Q40" s="629"/>
      <c r="R40" s="629"/>
      <c r="S40" s="629"/>
      <c r="T40" s="629"/>
      <c r="U40" s="192"/>
      <c r="V40" s="194">
        <f t="shared" ca="1" si="3"/>
        <v>0</v>
      </c>
      <c r="W40" s="178"/>
      <c r="X40" s="178">
        <f t="shared" si="4"/>
        <v>0</v>
      </c>
      <c r="Y40" s="166">
        <f t="shared" si="1"/>
        <v>0</v>
      </c>
    </row>
    <row r="41" spans="1:25" x14ac:dyDescent="0.2">
      <c r="A41" s="494"/>
      <c r="B41" s="686"/>
      <c r="C41" s="687"/>
      <c r="D41" s="687"/>
      <c r="E41" s="686"/>
      <c r="F41" s="687"/>
      <c r="G41" s="687"/>
      <c r="H41" s="686"/>
      <c r="I41" s="687"/>
      <c r="J41" s="687"/>
      <c r="K41" s="687"/>
      <c r="L41" s="495"/>
      <c r="M41" s="164" t="str">
        <f t="shared" ca="1" si="0"/>
        <v/>
      </c>
      <c r="N41" s="161"/>
      <c r="O41" s="163" t="str">
        <f t="shared" ca="1" si="2"/>
        <v xml:space="preserve"> </v>
      </c>
      <c r="P41" s="168"/>
      <c r="Q41" s="629"/>
      <c r="R41" s="629"/>
      <c r="S41" s="629"/>
      <c r="T41" s="629"/>
      <c r="U41" s="192"/>
      <c r="V41" s="194">
        <f t="shared" ca="1" si="3"/>
        <v>0</v>
      </c>
      <c r="W41" s="178"/>
      <c r="X41" s="178">
        <f t="shared" si="4"/>
        <v>0</v>
      </c>
      <c r="Y41" s="166">
        <f t="shared" si="1"/>
        <v>0</v>
      </c>
    </row>
    <row r="42" spans="1:25" x14ac:dyDescent="0.2">
      <c r="A42" s="494"/>
      <c r="B42" s="686"/>
      <c r="C42" s="687"/>
      <c r="D42" s="687"/>
      <c r="E42" s="686"/>
      <c r="F42" s="687"/>
      <c r="G42" s="687"/>
      <c r="H42" s="686"/>
      <c r="I42" s="687"/>
      <c r="J42" s="687"/>
      <c r="K42" s="687"/>
      <c r="L42" s="495"/>
      <c r="M42" s="164" t="str">
        <f t="shared" ca="1" si="0"/>
        <v/>
      </c>
      <c r="N42" s="161"/>
      <c r="O42" s="163" t="str">
        <f t="shared" ca="1" si="2"/>
        <v xml:space="preserve"> </v>
      </c>
      <c r="P42" s="168"/>
      <c r="Q42" s="629"/>
      <c r="R42" s="629"/>
      <c r="S42" s="629"/>
      <c r="T42" s="629"/>
      <c r="U42" s="192"/>
      <c r="V42" s="194">
        <f t="shared" ca="1" si="3"/>
        <v>0</v>
      </c>
      <c r="W42" s="178"/>
      <c r="X42" s="178">
        <f t="shared" si="4"/>
        <v>0</v>
      </c>
      <c r="Y42" s="166">
        <f t="shared" si="1"/>
        <v>0</v>
      </c>
    </row>
    <row r="43" spans="1:25" x14ac:dyDescent="0.2">
      <c r="A43" s="494"/>
      <c r="B43" s="686"/>
      <c r="C43" s="687"/>
      <c r="D43" s="687"/>
      <c r="E43" s="686"/>
      <c r="F43" s="687"/>
      <c r="G43" s="687"/>
      <c r="H43" s="686"/>
      <c r="I43" s="687"/>
      <c r="J43" s="687"/>
      <c r="K43" s="687"/>
      <c r="L43" s="495"/>
      <c r="M43" s="164" t="str">
        <f t="shared" ca="1" si="0"/>
        <v/>
      </c>
      <c r="N43" s="161"/>
      <c r="O43" s="163" t="str">
        <f t="shared" ca="1" si="2"/>
        <v xml:space="preserve"> </v>
      </c>
      <c r="P43" s="168"/>
      <c r="Q43" s="629"/>
      <c r="R43" s="629"/>
      <c r="S43" s="629"/>
      <c r="T43" s="629"/>
      <c r="U43" s="192"/>
      <c r="V43" s="194">
        <f t="shared" ca="1" si="3"/>
        <v>0</v>
      </c>
      <c r="W43" s="178"/>
      <c r="X43" s="178">
        <f t="shared" si="4"/>
        <v>0</v>
      </c>
      <c r="Y43" s="166">
        <f t="shared" si="1"/>
        <v>0</v>
      </c>
    </row>
    <row r="44" spans="1:25" x14ac:dyDescent="0.2">
      <c r="A44" s="494"/>
      <c r="B44" s="686"/>
      <c r="C44" s="687"/>
      <c r="D44" s="687"/>
      <c r="E44" s="686"/>
      <c r="F44" s="687"/>
      <c r="G44" s="687"/>
      <c r="H44" s="686"/>
      <c r="I44" s="687"/>
      <c r="J44" s="687"/>
      <c r="K44" s="687"/>
      <c r="L44" s="495"/>
      <c r="M44" s="164" t="str">
        <f t="shared" ca="1" si="0"/>
        <v/>
      </c>
      <c r="N44" s="161"/>
      <c r="O44" s="163" t="str">
        <f t="shared" ca="1" si="2"/>
        <v xml:space="preserve"> </v>
      </c>
      <c r="P44" s="168"/>
      <c r="Q44" s="629"/>
      <c r="R44" s="629"/>
      <c r="S44" s="629"/>
      <c r="T44" s="629"/>
      <c r="U44" s="192"/>
      <c r="V44" s="194">
        <f t="shared" ca="1" si="3"/>
        <v>0</v>
      </c>
      <c r="W44" s="178"/>
      <c r="X44" s="178">
        <f t="shared" si="4"/>
        <v>0</v>
      </c>
      <c r="Y44" s="166">
        <f t="shared" si="1"/>
        <v>0</v>
      </c>
    </row>
    <row r="45" spans="1:25" x14ac:dyDescent="0.2">
      <c r="A45" s="494"/>
      <c r="B45" s="686"/>
      <c r="C45" s="687"/>
      <c r="D45" s="687"/>
      <c r="E45" s="686"/>
      <c r="F45" s="687"/>
      <c r="G45" s="687"/>
      <c r="H45" s="686"/>
      <c r="I45" s="687"/>
      <c r="J45" s="687"/>
      <c r="K45" s="687"/>
      <c r="L45" s="495"/>
      <c r="M45" s="164" t="str">
        <f t="shared" ca="1" si="0"/>
        <v/>
      </c>
      <c r="N45" s="161"/>
      <c r="O45" s="163" t="str">
        <f t="shared" ca="1" si="2"/>
        <v xml:space="preserve"> </v>
      </c>
      <c r="P45" s="168"/>
      <c r="Q45" s="629"/>
      <c r="R45" s="629"/>
      <c r="S45" s="629"/>
      <c r="T45" s="629"/>
      <c r="U45" s="192"/>
      <c r="V45" s="194">
        <f t="shared" ca="1" si="3"/>
        <v>0</v>
      </c>
      <c r="W45" s="178"/>
      <c r="X45" s="178">
        <f t="shared" si="4"/>
        <v>0</v>
      </c>
      <c r="Y45" s="166">
        <f t="shared" si="1"/>
        <v>0</v>
      </c>
    </row>
    <row r="46" spans="1:25" x14ac:dyDescent="0.2">
      <c r="A46" s="494"/>
      <c r="B46" s="686"/>
      <c r="C46" s="687"/>
      <c r="D46" s="687"/>
      <c r="E46" s="686"/>
      <c r="F46" s="687"/>
      <c r="G46" s="687"/>
      <c r="H46" s="686"/>
      <c r="I46" s="687"/>
      <c r="J46" s="687"/>
      <c r="K46" s="687"/>
      <c r="L46" s="495"/>
      <c r="M46" s="164" t="str">
        <f t="shared" ca="1" si="0"/>
        <v/>
      </c>
      <c r="N46" s="161"/>
      <c r="O46" s="163" t="str">
        <f t="shared" ca="1" si="2"/>
        <v xml:space="preserve"> </v>
      </c>
      <c r="P46" s="168"/>
      <c r="Q46" s="629"/>
      <c r="R46" s="629"/>
      <c r="S46" s="629"/>
      <c r="T46" s="629"/>
      <c r="U46" s="192"/>
      <c r="V46" s="194">
        <f t="shared" ca="1" si="3"/>
        <v>0</v>
      </c>
      <c r="W46" s="178"/>
      <c r="X46" s="178">
        <f t="shared" si="4"/>
        <v>0</v>
      </c>
      <c r="Y46" s="166">
        <f t="shared" si="1"/>
        <v>0</v>
      </c>
    </row>
    <row r="47" spans="1:25" x14ac:dyDescent="0.2">
      <c r="A47" s="494"/>
      <c r="B47" s="686"/>
      <c r="C47" s="687"/>
      <c r="D47" s="687"/>
      <c r="E47" s="686"/>
      <c r="F47" s="687"/>
      <c r="G47" s="687"/>
      <c r="H47" s="686"/>
      <c r="I47" s="687"/>
      <c r="J47" s="687"/>
      <c r="K47" s="687"/>
      <c r="L47" s="495"/>
      <c r="M47" s="164" t="str">
        <f t="shared" ca="1" si="0"/>
        <v/>
      </c>
      <c r="N47" s="161"/>
      <c r="O47" s="163" t="str">
        <f t="shared" ca="1" si="2"/>
        <v xml:space="preserve"> </v>
      </c>
      <c r="P47" s="168"/>
      <c r="Q47" s="629"/>
      <c r="R47" s="629"/>
      <c r="S47" s="629"/>
      <c r="T47" s="629"/>
      <c r="U47" s="192"/>
      <c r="V47" s="194">
        <f t="shared" ca="1" si="3"/>
        <v>0</v>
      </c>
      <c r="W47" s="178"/>
      <c r="X47" s="178">
        <f t="shared" si="4"/>
        <v>0</v>
      </c>
      <c r="Y47" s="166">
        <f t="shared" si="1"/>
        <v>0</v>
      </c>
    </row>
    <row r="48" spans="1:25" x14ac:dyDescent="0.2">
      <c r="A48" s="494"/>
      <c r="B48" s="686"/>
      <c r="C48" s="687"/>
      <c r="D48" s="687"/>
      <c r="E48" s="686"/>
      <c r="F48" s="687"/>
      <c r="G48" s="687"/>
      <c r="H48" s="686"/>
      <c r="I48" s="687"/>
      <c r="J48" s="687"/>
      <c r="K48" s="687"/>
      <c r="L48" s="495"/>
      <c r="M48" s="164" t="str">
        <f t="shared" ca="1" si="0"/>
        <v/>
      </c>
      <c r="N48" s="161"/>
      <c r="O48" s="163" t="str">
        <f t="shared" ca="1" si="2"/>
        <v xml:space="preserve"> </v>
      </c>
      <c r="P48" s="168"/>
      <c r="Q48" s="629"/>
      <c r="R48" s="629"/>
      <c r="S48" s="629"/>
      <c r="T48" s="629"/>
      <c r="U48" s="192"/>
      <c r="V48" s="194">
        <f t="shared" ca="1" si="3"/>
        <v>0</v>
      </c>
      <c r="W48" s="178"/>
      <c r="X48" s="178">
        <f t="shared" si="4"/>
        <v>0</v>
      </c>
      <c r="Y48" s="166">
        <f t="shared" si="1"/>
        <v>0</v>
      </c>
    </row>
    <row r="49" spans="1:25" x14ac:dyDescent="0.2">
      <c r="A49" s="494"/>
      <c r="B49" s="686"/>
      <c r="C49" s="687"/>
      <c r="D49" s="687"/>
      <c r="E49" s="686"/>
      <c r="F49" s="687"/>
      <c r="G49" s="687"/>
      <c r="H49" s="686"/>
      <c r="I49" s="687"/>
      <c r="J49" s="687"/>
      <c r="K49" s="687"/>
      <c r="L49" s="495"/>
      <c r="M49" s="164" t="str">
        <f t="shared" ca="1" si="0"/>
        <v/>
      </c>
      <c r="N49" s="161"/>
      <c r="O49" s="163" t="str">
        <f t="shared" ca="1" si="2"/>
        <v xml:space="preserve"> </v>
      </c>
      <c r="P49" s="168"/>
      <c r="Q49" s="629"/>
      <c r="R49" s="629"/>
      <c r="S49" s="629"/>
      <c r="T49" s="629"/>
      <c r="U49" s="192"/>
      <c r="V49" s="194">
        <f t="shared" ca="1" si="3"/>
        <v>0</v>
      </c>
      <c r="W49" s="178"/>
      <c r="X49" s="178">
        <f t="shared" si="4"/>
        <v>0</v>
      </c>
      <c r="Y49" s="166">
        <f t="shared" si="1"/>
        <v>0</v>
      </c>
    </row>
    <row r="50" spans="1:25" x14ac:dyDescent="0.2">
      <c r="A50" s="494"/>
      <c r="B50" s="686"/>
      <c r="C50" s="687"/>
      <c r="D50" s="687"/>
      <c r="E50" s="686"/>
      <c r="F50" s="687"/>
      <c r="G50" s="687"/>
      <c r="H50" s="686"/>
      <c r="I50" s="687"/>
      <c r="J50" s="687"/>
      <c r="K50" s="687"/>
      <c r="L50" s="495"/>
      <c r="M50" s="164" t="str">
        <f t="shared" ca="1" si="0"/>
        <v/>
      </c>
      <c r="N50" s="161"/>
      <c r="O50" s="163" t="str">
        <f t="shared" ca="1" si="2"/>
        <v xml:space="preserve"> </v>
      </c>
      <c r="P50" s="168"/>
      <c r="Q50" s="629"/>
      <c r="R50" s="629"/>
      <c r="S50" s="629"/>
      <c r="T50" s="629"/>
      <c r="U50" s="192"/>
      <c r="V50" s="194">
        <f t="shared" ca="1" si="3"/>
        <v>0</v>
      </c>
      <c r="W50" s="178"/>
      <c r="X50" s="178">
        <f t="shared" si="4"/>
        <v>0</v>
      </c>
      <c r="Y50" s="166">
        <f t="shared" si="1"/>
        <v>0</v>
      </c>
    </row>
    <row r="51" spans="1:25" ht="13.5" thickBot="1" x14ac:dyDescent="0.25">
      <c r="A51" s="38"/>
      <c r="B51" s="76"/>
      <c r="C51" s="38"/>
      <c r="D51" s="38"/>
      <c r="E51" s="38"/>
      <c r="F51" s="38"/>
      <c r="G51" s="38"/>
      <c r="H51" s="38"/>
      <c r="I51" s="38"/>
      <c r="J51" s="38"/>
      <c r="K51" s="38"/>
      <c r="L51" s="52"/>
      <c r="N51" s="156">
        <f>COUNTIF(N17:N50,"x")</f>
        <v>0</v>
      </c>
      <c r="P51" s="14"/>
      <c r="Q51" s="14"/>
      <c r="R51" s="14"/>
      <c r="S51" s="14"/>
      <c r="T51" s="14"/>
      <c r="U51" s="179">
        <f>SUM(U17:U50)+X51</f>
        <v>0</v>
      </c>
      <c r="V51" s="163">
        <f ca="1">SUM(V17:V50)</f>
        <v>0</v>
      </c>
      <c r="W51" s="163">
        <f>COUNTA(W17:W50)</f>
        <v>0</v>
      </c>
      <c r="X51" s="179">
        <f>SUM(X17:X50)</f>
        <v>0</v>
      </c>
      <c r="Y51" s="206">
        <f>SUM(Y17:Y50)</f>
        <v>0</v>
      </c>
    </row>
    <row r="52" spans="1:25" ht="13.5" customHeight="1" thickTop="1" x14ac:dyDescent="0.3">
      <c r="A52" s="675" t="str">
        <f>IF(L52&gt;0,"DON’T FORGET TO ATTACH YOUR RECEIPT DOCUMENTATION TO THE EMAIL","")</f>
        <v/>
      </c>
      <c r="B52" s="675"/>
      <c r="C52" s="675"/>
      <c r="D52" s="675"/>
      <c r="E52" s="675"/>
      <c r="F52" s="675"/>
      <c r="G52" s="675"/>
      <c r="H52" s="450"/>
      <c r="I52" s="38"/>
      <c r="J52" s="38"/>
      <c r="K52" s="218" t="s">
        <v>1652</v>
      </c>
      <c r="L52" s="91">
        <f>IF(FundCode&lt;&gt;500,COUNT(L16:L46),SUM(O16:O50))</f>
        <v>0</v>
      </c>
      <c r="P52" s="138"/>
      <c r="Q52" s="138"/>
      <c r="R52" s="138"/>
      <c r="S52" s="138"/>
      <c r="T52" s="14"/>
    </row>
    <row r="53" spans="1:25" ht="12.75" customHeight="1" x14ac:dyDescent="0.3">
      <c r="A53" s="675"/>
      <c r="B53" s="675"/>
      <c r="C53" s="675"/>
      <c r="D53" s="675"/>
      <c r="E53" s="675"/>
      <c r="F53" s="675"/>
      <c r="G53" s="675"/>
      <c r="H53" s="450"/>
      <c r="I53" s="38"/>
      <c r="J53" s="38"/>
      <c r="P53" s="138"/>
      <c r="Q53" s="138"/>
      <c r="R53" s="138"/>
      <c r="S53" s="138"/>
      <c r="T53" s="14"/>
    </row>
    <row r="54" spans="1:25" ht="12.75" customHeight="1" x14ac:dyDescent="0.3">
      <c r="A54" s="675"/>
      <c r="B54" s="675"/>
      <c r="C54" s="675"/>
      <c r="D54" s="675"/>
      <c r="E54" s="675"/>
      <c r="F54" s="675"/>
      <c r="G54" s="675"/>
      <c r="H54" s="450"/>
      <c r="K54" s="5" t="s">
        <v>55</v>
      </c>
      <c r="L54" s="45">
        <f ca="1">SUM(L16:L50)+U51-V51</f>
        <v>0</v>
      </c>
      <c r="P54" s="138"/>
      <c r="Q54" s="138"/>
      <c r="R54" s="138"/>
      <c r="S54" s="138"/>
      <c r="T54" s="14"/>
    </row>
    <row r="55" spans="1:25" ht="12.75" customHeight="1" x14ac:dyDescent="0.3">
      <c r="A55" s="675"/>
      <c r="B55" s="675"/>
      <c r="C55" s="675"/>
      <c r="D55" s="675"/>
      <c r="E55" s="675"/>
      <c r="F55" s="675"/>
      <c r="G55" s="675"/>
      <c r="H55" s="450"/>
      <c r="M55" s="54"/>
      <c r="N55" s="54"/>
      <c r="P55" s="138"/>
      <c r="Q55" s="138"/>
      <c r="R55" s="138"/>
      <c r="S55" s="138"/>
      <c r="T55" s="14"/>
    </row>
    <row r="56" spans="1:25" x14ac:dyDescent="0.2">
      <c r="P56" s="14"/>
      <c r="Q56" s="14"/>
      <c r="R56" s="14"/>
      <c r="S56" s="14"/>
      <c r="T56" s="14"/>
    </row>
    <row r="57" spans="1:25" x14ac:dyDescent="0.2">
      <c r="P57" s="14"/>
      <c r="Q57" s="14"/>
      <c r="R57" s="14"/>
      <c r="S57" s="14"/>
      <c r="T57" s="14"/>
    </row>
  </sheetData>
  <sheetProtection algorithmName="SHA-512" hashValue="B15jRXiarsIgo+9T30PjTi7LrI3DKu7eywARK/8qHEMNAECkf+LTwRlTN9LdTT0+VhzZHEPK7uNY5N2M+guyvA==" saltValue="k1tPdZXfLq4udUfEI2Rtwg==" spinCount="100000" sheet="1" objects="1" scenarios="1"/>
  <mergeCells count="167">
    <mergeCell ref="H48:K48"/>
    <mergeCell ref="E48:G48"/>
    <mergeCell ref="H44:K44"/>
    <mergeCell ref="E49:G49"/>
    <mergeCell ref="H49:K49"/>
    <mergeCell ref="B46:D46"/>
    <mergeCell ref="E46:G46"/>
    <mergeCell ref="H46:K46"/>
    <mergeCell ref="B47:D47"/>
    <mergeCell ref="B49:D49"/>
    <mergeCell ref="B45:D45"/>
    <mergeCell ref="H45:K45"/>
    <mergeCell ref="E45:G45"/>
    <mergeCell ref="B44:D44"/>
    <mergeCell ref="E44:G44"/>
    <mergeCell ref="C1:D1"/>
    <mergeCell ref="H14:K14"/>
    <mergeCell ref="B16:D16"/>
    <mergeCell ref="B34:D34"/>
    <mergeCell ref="H15:K15"/>
    <mergeCell ref="B15:D15"/>
    <mergeCell ref="E15:G15"/>
    <mergeCell ref="E34:G34"/>
    <mergeCell ref="H34:K34"/>
    <mergeCell ref="E16:G16"/>
    <mergeCell ref="H16:K16"/>
    <mergeCell ref="B17:D17"/>
    <mergeCell ref="H18:K18"/>
    <mergeCell ref="E19:G19"/>
    <mergeCell ref="H19:K19"/>
    <mergeCell ref="G11:I11"/>
    <mergeCell ref="G12:I12"/>
    <mergeCell ref="J12:L12"/>
    <mergeCell ref="B21:D21"/>
    <mergeCell ref="B20:D20"/>
    <mergeCell ref="A3:E3"/>
    <mergeCell ref="B18:D18"/>
    <mergeCell ref="H22:K22"/>
    <mergeCell ref="B27:D27"/>
    <mergeCell ref="E38:G38"/>
    <mergeCell ref="H38:K38"/>
    <mergeCell ref="B39:D39"/>
    <mergeCell ref="E37:G37"/>
    <mergeCell ref="E28:G28"/>
    <mergeCell ref="H28:K28"/>
    <mergeCell ref="E22:G22"/>
    <mergeCell ref="Q50:T50"/>
    <mergeCell ref="Q44:T44"/>
    <mergeCell ref="Q45:T45"/>
    <mergeCell ref="Q46:T46"/>
    <mergeCell ref="Q47:T47"/>
    <mergeCell ref="Q48:T48"/>
    <mergeCell ref="Q42:T42"/>
    <mergeCell ref="Q43:T43"/>
    <mergeCell ref="Q40:T40"/>
    <mergeCell ref="Q41:T41"/>
    <mergeCell ref="Q49:T49"/>
    <mergeCell ref="B50:D50"/>
    <mergeCell ref="E50:G50"/>
    <mergeCell ref="H50:K50"/>
    <mergeCell ref="B48:D48"/>
    <mergeCell ref="E47:G47"/>
    <mergeCell ref="H47:K47"/>
    <mergeCell ref="B42:D42"/>
    <mergeCell ref="E39:G39"/>
    <mergeCell ref="H43:K43"/>
    <mergeCell ref="Q28:T28"/>
    <mergeCell ref="B29:D29"/>
    <mergeCell ref="E29:G29"/>
    <mergeCell ref="H29:K29"/>
    <mergeCell ref="Q29:T29"/>
    <mergeCell ref="Q38:T38"/>
    <mergeCell ref="Q39:T39"/>
    <mergeCell ref="B41:D41"/>
    <mergeCell ref="E41:G41"/>
    <mergeCell ref="H41:K41"/>
    <mergeCell ref="H39:K39"/>
    <mergeCell ref="E43:G43"/>
    <mergeCell ref="B40:D40"/>
    <mergeCell ref="B37:D37"/>
    <mergeCell ref="E40:G40"/>
    <mergeCell ref="H40:K40"/>
    <mergeCell ref="E42:G42"/>
    <mergeCell ref="H42:K42"/>
    <mergeCell ref="B43:D43"/>
    <mergeCell ref="B36:D36"/>
    <mergeCell ref="B38:D38"/>
    <mergeCell ref="E27:G27"/>
    <mergeCell ref="H27:K27"/>
    <mergeCell ref="Q27:T27"/>
    <mergeCell ref="Q37:T37"/>
    <mergeCell ref="H35:K35"/>
    <mergeCell ref="Q34:T34"/>
    <mergeCell ref="B30:D30"/>
    <mergeCell ref="E30:G30"/>
    <mergeCell ref="H30:K30"/>
    <mergeCell ref="Q30:T30"/>
    <mergeCell ref="B31:D31"/>
    <mergeCell ref="E31:G31"/>
    <mergeCell ref="H31:K31"/>
    <mergeCell ref="Q31:T31"/>
    <mergeCell ref="B35:D35"/>
    <mergeCell ref="E35:G35"/>
    <mergeCell ref="E36:G36"/>
    <mergeCell ref="H36:K36"/>
    <mergeCell ref="H37:K37"/>
    <mergeCell ref="Y14:Y15"/>
    <mergeCell ref="W14:W15"/>
    <mergeCell ref="X14:X15"/>
    <mergeCell ref="E21:G21"/>
    <mergeCell ref="H21:K21"/>
    <mergeCell ref="E17:G17"/>
    <mergeCell ref="H17:K17"/>
    <mergeCell ref="E20:G20"/>
    <mergeCell ref="H20:K20"/>
    <mergeCell ref="E18:G18"/>
    <mergeCell ref="U14:U15"/>
    <mergeCell ref="Q15:T15"/>
    <mergeCell ref="V14:V15"/>
    <mergeCell ref="Q20:T20"/>
    <mergeCell ref="Q18:T18"/>
    <mergeCell ref="P14:T14"/>
    <mergeCell ref="Q21:T21"/>
    <mergeCell ref="Q22:T22"/>
    <mergeCell ref="B23:D23"/>
    <mergeCell ref="E23:G23"/>
    <mergeCell ref="H23:K23"/>
    <mergeCell ref="Q23:T23"/>
    <mergeCell ref="J7:L7"/>
    <mergeCell ref="J8:L8"/>
    <mergeCell ref="J9:L9"/>
    <mergeCell ref="J10:L10"/>
    <mergeCell ref="J11:L11"/>
    <mergeCell ref="G7:I7"/>
    <mergeCell ref="G8:I8"/>
    <mergeCell ref="G9:I9"/>
    <mergeCell ref="G10:I10"/>
    <mergeCell ref="Q17:T17"/>
    <mergeCell ref="Q19:T19"/>
    <mergeCell ref="B22:D22"/>
    <mergeCell ref="A7:E7"/>
    <mergeCell ref="A8:E12"/>
    <mergeCell ref="B19:D19"/>
    <mergeCell ref="A52:G55"/>
    <mergeCell ref="B33:D33"/>
    <mergeCell ref="E33:G33"/>
    <mergeCell ref="H33:K33"/>
    <mergeCell ref="Q33:T33"/>
    <mergeCell ref="E24:G24"/>
    <mergeCell ref="H24:K24"/>
    <mergeCell ref="Q24:T24"/>
    <mergeCell ref="B26:D26"/>
    <mergeCell ref="E26:G26"/>
    <mergeCell ref="H26:K26"/>
    <mergeCell ref="Q26:T26"/>
    <mergeCell ref="B32:D32"/>
    <mergeCell ref="E32:G32"/>
    <mergeCell ref="H32:K32"/>
    <mergeCell ref="Q32:T32"/>
    <mergeCell ref="B25:D25"/>
    <mergeCell ref="E25:G25"/>
    <mergeCell ref="H25:K25"/>
    <mergeCell ref="Q25:T25"/>
    <mergeCell ref="B24:D24"/>
    <mergeCell ref="Q35:T35"/>
    <mergeCell ref="Q36:T36"/>
    <mergeCell ref="B28:D28"/>
  </mergeCells>
  <phoneticPr fontId="0" type="noConversion"/>
  <conditionalFormatting sqref="A17">
    <cfRule type="expression" dxfId="44" priority="147">
      <formula>M17="disallow"</formula>
    </cfRule>
  </conditionalFormatting>
  <conditionalFormatting sqref="B17:D17">
    <cfRule type="expression" dxfId="43" priority="146">
      <formula>M17="disallow"</formula>
    </cfRule>
  </conditionalFormatting>
  <conditionalFormatting sqref="E17:G17">
    <cfRule type="expression" dxfId="42" priority="145">
      <formula>M17="disallow"</formula>
    </cfRule>
  </conditionalFormatting>
  <conditionalFormatting sqref="H17:K17">
    <cfRule type="expression" dxfId="41" priority="144">
      <formula>M17="disallow"</formula>
    </cfRule>
  </conditionalFormatting>
  <conditionalFormatting sqref="L17">
    <cfRule type="expression" dxfId="40" priority="143">
      <formula>M17="disallow"</formula>
    </cfRule>
  </conditionalFormatting>
  <conditionalFormatting sqref="A17">
    <cfRule type="expression" dxfId="39" priority="142">
      <formula>M17="disallow"</formula>
    </cfRule>
  </conditionalFormatting>
  <conditionalFormatting sqref="B17:D17">
    <cfRule type="expression" dxfId="38" priority="141">
      <formula>M17="disallow"</formula>
    </cfRule>
  </conditionalFormatting>
  <conditionalFormatting sqref="E17:G17">
    <cfRule type="expression" dxfId="37" priority="140">
      <formula>M17="disallow"</formula>
    </cfRule>
  </conditionalFormatting>
  <conditionalFormatting sqref="H17:K17">
    <cfRule type="expression" dxfId="36" priority="139">
      <formula>M17="disallow"</formula>
    </cfRule>
  </conditionalFormatting>
  <conditionalFormatting sqref="L17">
    <cfRule type="expression" dxfId="35" priority="138">
      <formula>M17="disallow"</formula>
    </cfRule>
  </conditionalFormatting>
  <conditionalFormatting sqref="L17">
    <cfRule type="expression" dxfId="34" priority="137">
      <formula>M17="disallow"</formula>
    </cfRule>
  </conditionalFormatting>
  <conditionalFormatting sqref="A17">
    <cfRule type="expression" priority="136">
      <formula>AND($M17="disallow",$W17="")</formula>
    </cfRule>
  </conditionalFormatting>
  <conditionalFormatting sqref="B17:D17">
    <cfRule type="expression" priority="135">
      <formula>AND($M17="disallow",$W17="")</formula>
    </cfRule>
  </conditionalFormatting>
  <conditionalFormatting sqref="E17:G17">
    <cfRule type="expression" priority="134">
      <formula>AND($M17="disallow",$W17="")</formula>
    </cfRule>
  </conditionalFormatting>
  <conditionalFormatting sqref="H17:K17">
    <cfRule type="expression" priority="133">
      <formula>AND($M$16="disallow",$W17="")</formula>
    </cfRule>
  </conditionalFormatting>
  <conditionalFormatting sqref="L17">
    <cfRule type="expression" priority="132">
      <formula>AND($M17="disallow",$W17="")</formula>
    </cfRule>
  </conditionalFormatting>
  <conditionalFormatting sqref="B17:D17">
    <cfRule type="expression" priority="131">
      <formula>AND($M17="disallow",$W17="")</formula>
    </cfRule>
  </conditionalFormatting>
  <conditionalFormatting sqref="E17:G17">
    <cfRule type="expression" priority="130">
      <formula>AND($M17="disallow",$W17="")</formula>
    </cfRule>
  </conditionalFormatting>
  <conditionalFormatting sqref="H17:K17">
    <cfRule type="expression" priority="129">
      <formula>AND($M$16="disallow",$W17="")</formula>
    </cfRule>
  </conditionalFormatting>
  <conditionalFormatting sqref="L17">
    <cfRule type="expression" priority="128">
      <formula>AND($M17="disallow",$W17="")</formula>
    </cfRule>
  </conditionalFormatting>
  <conditionalFormatting sqref="A17">
    <cfRule type="expression" priority="127">
      <formula>AND($M17="disallow",$W17="")</formula>
    </cfRule>
  </conditionalFormatting>
  <conditionalFormatting sqref="A17">
    <cfRule type="expression" dxfId="33" priority="126">
      <formula>AND($M17="disallow",$W17="")</formula>
    </cfRule>
  </conditionalFormatting>
  <conditionalFormatting sqref="B17:D17">
    <cfRule type="expression" dxfId="32" priority="125">
      <formula>AND($M17="disallow",$W17="")</formula>
    </cfRule>
  </conditionalFormatting>
  <conditionalFormatting sqref="E17:G17">
    <cfRule type="expression" dxfId="31" priority="124">
      <formula>AND($M17="disallow",$W17="")</formula>
    </cfRule>
  </conditionalFormatting>
  <conditionalFormatting sqref="H17:K17">
    <cfRule type="expression" dxfId="30" priority="123">
      <formula>AND($M$16="disallow",$W17="")</formula>
    </cfRule>
  </conditionalFormatting>
  <conditionalFormatting sqref="L17">
    <cfRule type="expression" dxfId="29" priority="122">
      <formula>AND($M17="disallow",$W17="")</formula>
    </cfRule>
  </conditionalFormatting>
  <conditionalFormatting sqref="B17:D17">
    <cfRule type="expression" priority="121">
      <formula>AND($M17="disallow",$W17="")</formula>
    </cfRule>
  </conditionalFormatting>
  <conditionalFormatting sqref="E17:G17">
    <cfRule type="expression" priority="120">
      <formula>AND($M17="disallow",$W17="")</formula>
    </cfRule>
  </conditionalFormatting>
  <conditionalFormatting sqref="H17:K17">
    <cfRule type="expression" priority="119">
      <formula>AND($M$16="disallow",$W17="")</formula>
    </cfRule>
  </conditionalFormatting>
  <conditionalFormatting sqref="L17">
    <cfRule type="expression" priority="118">
      <formula>AND($M17="disallow",$W17="")</formula>
    </cfRule>
  </conditionalFormatting>
  <conditionalFormatting sqref="A17">
    <cfRule type="expression" priority="117">
      <formula>AND($M17="disallow",$W17="")</formula>
    </cfRule>
  </conditionalFormatting>
  <conditionalFormatting sqref="A17">
    <cfRule type="expression" dxfId="28" priority="116">
      <formula>AND($M17="disallow",$W17="")</formula>
    </cfRule>
  </conditionalFormatting>
  <conditionalFormatting sqref="B17:D17">
    <cfRule type="expression" dxfId="27" priority="115">
      <formula>AND($M17="disallow",$W17="")</formula>
    </cfRule>
  </conditionalFormatting>
  <conditionalFormatting sqref="E17:G17">
    <cfRule type="expression" dxfId="26" priority="114">
      <formula>AND($M17="disallow",$W17="")</formula>
    </cfRule>
  </conditionalFormatting>
  <conditionalFormatting sqref="H17:K17">
    <cfRule type="expression" dxfId="25" priority="113">
      <formula>AND($M$16="disallow",$W17="")</formula>
    </cfRule>
  </conditionalFormatting>
  <conditionalFormatting sqref="L17">
    <cfRule type="expression" dxfId="24" priority="112">
      <formula>AND($M17="disallow",$W17="")</formula>
    </cfRule>
  </conditionalFormatting>
  <conditionalFormatting sqref="G5:K5">
    <cfRule type="expression" dxfId="23" priority="39">
      <formula>$M$15&gt;0</formula>
    </cfRule>
  </conditionalFormatting>
  <conditionalFormatting sqref="A17:L17">
    <cfRule type="expression" dxfId="22" priority="38">
      <formula>$M17="disallow"</formula>
    </cfRule>
  </conditionalFormatting>
  <conditionalFormatting sqref="A18:A50">
    <cfRule type="expression" dxfId="21" priority="37">
      <formula>M18="disallow"</formula>
    </cfRule>
  </conditionalFormatting>
  <conditionalFormatting sqref="B18:D50">
    <cfRule type="expression" dxfId="20" priority="36">
      <formula>M18="disallow"</formula>
    </cfRule>
  </conditionalFormatting>
  <conditionalFormatting sqref="E18:G50">
    <cfRule type="expression" dxfId="19" priority="35">
      <formula>M18="disallow"</formula>
    </cfRule>
  </conditionalFormatting>
  <conditionalFormatting sqref="H18:K50">
    <cfRule type="expression" dxfId="18" priority="34">
      <formula>M18="disallow"</formula>
    </cfRule>
  </conditionalFormatting>
  <conditionalFormatting sqref="L18:L50">
    <cfRule type="expression" dxfId="17" priority="33">
      <formula>M18="disallow"</formula>
    </cfRule>
  </conditionalFormatting>
  <conditionalFormatting sqref="A18:A50">
    <cfRule type="expression" dxfId="16" priority="32">
      <formula>M18="disallow"</formula>
    </cfRule>
  </conditionalFormatting>
  <conditionalFormatting sqref="B18:D50">
    <cfRule type="expression" dxfId="15" priority="31">
      <formula>M18="disallow"</formula>
    </cfRule>
  </conditionalFormatting>
  <conditionalFormatting sqref="E18:G50">
    <cfRule type="expression" dxfId="14" priority="30">
      <formula>M18="disallow"</formula>
    </cfRule>
  </conditionalFormatting>
  <conditionalFormatting sqref="H18:K50">
    <cfRule type="expression" dxfId="13" priority="29">
      <formula>M18="disallow"</formula>
    </cfRule>
  </conditionalFormatting>
  <conditionalFormatting sqref="L18:L50">
    <cfRule type="expression" dxfId="12" priority="28">
      <formula>M18="disallow"</formula>
    </cfRule>
  </conditionalFormatting>
  <conditionalFormatting sqref="L18:L50">
    <cfRule type="expression" dxfId="11" priority="27">
      <formula>M18="disallow"</formula>
    </cfRule>
  </conditionalFormatting>
  <conditionalFormatting sqref="A18:A50">
    <cfRule type="expression" priority="26">
      <formula>AND($M18="disallow",$W18="")</formula>
    </cfRule>
  </conditionalFormatting>
  <conditionalFormatting sqref="B18:D50">
    <cfRule type="expression" priority="25">
      <formula>AND($M18="disallow",$W18="")</formula>
    </cfRule>
  </conditionalFormatting>
  <conditionalFormatting sqref="E18:G50">
    <cfRule type="expression" priority="24">
      <formula>AND($M18="disallow",$W18="")</formula>
    </cfRule>
  </conditionalFormatting>
  <conditionalFormatting sqref="H18:K50">
    <cfRule type="expression" priority="23">
      <formula>AND($M$16="disallow",$W18="")</formula>
    </cfRule>
  </conditionalFormatting>
  <conditionalFormatting sqref="L18:L50">
    <cfRule type="expression" priority="22">
      <formula>AND($M18="disallow",$W18="")</formula>
    </cfRule>
  </conditionalFormatting>
  <conditionalFormatting sqref="B18:D50">
    <cfRule type="expression" priority="21">
      <formula>AND($M18="disallow",$W18="")</formula>
    </cfRule>
  </conditionalFormatting>
  <conditionalFormatting sqref="E18:G50">
    <cfRule type="expression" priority="20">
      <formula>AND($M18="disallow",$W18="")</formula>
    </cfRule>
  </conditionalFormatting>
  <conditionalFormatting sqref="H18:K50">
    <cfRule type="expression" priority="19">
      <formula>AND($M$16="disallow",$W18="")</formula>
    </cfRule>
  </conditionalFormatting>
  <conditionalFormatting sqref="L18:L50">
    <cfRule type="expression" priority="18">
      <formula>AND($M18="disallow",$W18="")</formula>
    </cfRule>
  </conditionalFormatting>
  <conditionalFormatting sqref="A18:A50">
    <cfRule type="expression" priority="17">
      <formula>AND($M18="disallow",$W18="")</formula>
    </cfRule>
  </conditionalFormatting>
  <conditionalFormatting sqref="A18:A50">
    <cfRule type="expression" dxfId="10" priority="16">
      <formula>AND($M18="disallow",$W18="")</formula>
    </cfRule>
  </conditionalFormatting>
  <conditionalFormatting sqref="B18:D50">
    <cfRule type="expression" dxfId="9" priority="15">
      <formula>AND($M18="disallow",$W18="")</formula>
    </cfRule>
  </conditionalFormatting>
  <conditionalFormatting sqref="E18:G50">
    <cfRule type="expression" dxfId="8" priority="14">
      <formula>AND($M18="disallow",$W18="")</formula>
    </cfRule>
  </conditionalFormatting>
  <conditionalFormatting sqref="H18:K50">
    <cfRule type="expression" dxfId="7" priority="13">
      <formula>AND($M$16="disallow",$W18="")</formula>
    </cfRule>
  </conditionalFormatting>
  <conditionalFormatting sqref="L18:L50">
    <cfRule type="expression" dxfId="6" priority="12">
      <formula>AND($M18="disallow",$W18="")</formula>
    </cfRule>
  </conditionalFormatting>
  <conditionalFormatting sqref="B18:D50">
    <cfRule type="expression" priority="11">
      <formula>AND($M18="disallow",$W18="")</formula>
    </cfRule>
  </conditionalFormatting>
  <conditionalFormatting sqref="E18:G50">
    <cfRule type="expression" priority="10">
      <formula>AND($M18="disallow",$W18="")</formula>
    </cfRule>
  </conditionalFormatting>
  <conditionalFormatting sqref="H18:K50">
    <cfRule type="expression" priority="9">
      <formula>AND($M$16="disallow",$W18="")</formula>
    </cfRule>
  </conditionalFormatting>
  <conditionalFormatting sqref="L18:L50">
    <cfRule type="expression" priority="8">
      <formula>AND($M18="disallow",$W18="")</formula>
    </cfRule>
  </conditionalFormatting>
  <conditionalFormatting sqref="A18:A50">
    <cfRule type="expression" priority="7">
      <formula>AND($M18="disallow",$W18="")</formula>
    </cfRule>
  </conditionalFormatting>
  <conditionalFormatting sqref="A18:A50">
    <cfRule type="expression" dxfId="5" priority="6">
      <formula>AND($M18="disallow",$W18="")</formula>
    </cfRule>
  </conditionalFormatting>
  <conditionalFormatting sqref="B18:D50">
    <cfRule type="expression" dxfId="4" priority="5">
      <formula>AND($M18="disallow",$W18="")</formula>
    </cfRule>
  </conditionalFormatting>
  <conditionalFormatting sqref="E18:G50">
    <cfRule type="expression" dxfId="3" priority="4">
      <formula>AND($M18="disallow",$W18="")</formula>
    </cfRule>
  </conditionalFormatting>
  <conditionalFormatting sqref="H18:K50">
    <cfRule type="expression" dxfId="2" priority="3">
      <formula>AND($M$16="disallow",$W18="")</formula>
    </cfRule>
  </conditionalFormatting>
  <conditionalFormatting sqref="L18:L50">
    <cfRule type="expression" dxfId="1" priority="2">
      <formula>AND($M18="disallow",$W18="")</formula>
    </cfRule>
  </conditionalFormatting>
  <conditionalFormatting sqref="A18:L50">
    <cfRule type="expression" dxfId="0" priority="1">
      <formula>$M18="disallow"</formula>
    </cfRule>
  </conditionalFormatting>
  <dataValidations count="2">
    <dataValidation type="list" allowBlank="1" showInputMessage="1" showErrorMessage="1" sqref="C1:D1" xr:uid="{00000000-0002-0000-0E00-000000000000}">
      <formula1>Category</formula1>
    </dataValidation>
    <dataValidation type="date" operator="greaterThan" allowBlank="1" showInputMessage="1" showErrorMessage="1" promptTitle="Date Format" prompt="Please use proper date format (mm/dd/yy)" sqref="A17:A50" xr:uid="{00000000-0002-0000-0E00-000001000000}">
      <formula1>40909</formula1>
    </dataValidation>
  </dataValidations>
  <pageMargins left="0.25" right="0.25" top="0.25" bottom="0.25" header="0.25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92D050"/>
  </sheetPr>
  <dimension ref="A1:BC48"/>
  <sheetViews>
    <sheetView tabSelected="1" view="pageBreakPreview" zoomScale="69" zoomScaleNormal="60" zoomScaleSheetLayoutView="69" workbookViewId="0">
      <selection activeCell="C9" sqref="C9"/>
    </sheetView>
  </sheetViews>
  <sheetFormatPr defaultRowHeight="12.75" x14ac:dyDescent="0.2"/>
  <cols>
    <col min="1" max="1" width="21.28515625" customWidth="1"/>
    <col min="2" max="2" width="30" customWidth="1"/>
    <col min="3" max="3" width="29.7109375" customWidth="1"/>
    <col min="4" max="4" width="13.5703125" customWidth="1"/>
    <col min="5" max="5" width="11.5703125" customWidth="1"/>
    <col min="6" max="6" width="20.140625" customWidth="1"/>
    <col min="7" max="7" width="2.7109375" customWidth="1"/>
    <col min="8" max="8" width="18" customWidth="1"/>
    <col min="9" max="9" width="14.42578125" customWidth="1"/>
    <col min="10" max="10" width="9.7109375" customWidth="1"/>
    <col min="11" max="11" width="13.28515625" customWidth="1"/>
    <col min="12" max="12" width="15.5703125" customWidth="1"/>
    <col min="13" max="13" width="19" customWidth="1"/>
    <col min="14" max="14" width="8.85546875" style="257" hidden="1" customWidth="1"/>
    <col min="15" max="16" width="9.28515625" style="330" hidden="1" customWidth="1"/>
    <col min="17" max="17" width="12.140625" style="337" hidden="1" customWidth="1"/>
    <col min="18" max="18" width="8.85546875" style="337" hidden="1" customWidth="1"/>
    <col min="19" max="19" width="14.5703125" style="336" hidden="1" customWidth="1"/>
    <col min="20" max="20" width="9.28515625" style="336" hidden="1" customWidth="1"/>
    <col min="21" max="21" width="8.85546875" style="336" hidden="1" customWidth="1"/>
    <col min="22" max="22" width="11.28515625" style="336" customWidth="1"/>
    <col min="23" max="23" width="11" style="336" customWidth="1"/>
    <col min="24" max="25" width="9.140625" style="336"/>
    <col min="26" max="27" width="12.5703125" style="336" bestFit="1" customWidth="1"/>
    <col min="28" max="39" width="9.140625" style="336"/>
    <col min="40" max="55" width="9.140625" style="257"/>
  </cols>
  <sheetData>
    <row r="1" spans="1:17" ht="21.75" x14ac:dyDescent="0.3">
      <c r="A1" s="600" t="str">
        <f>IF(ProjectCode&gt;8999,"ISIntl","ISI")</f>
        <v>ISI</v>
      </c>
      <c r="B1" s="600"/>
      <c r="C1" s="599" t="s">
        <v>1584</v>
      </c>
      <c r="D1" s="599"/>
      <c r="E1" s="599"/>
      <c r="F1" s="599"/>
      <c r="G1" s="18"/>
      <c r="H1" s="18"/>
      <c r="I1" s="18"/>
      <c r="J1" s="18"/>
      <c r="K1" s="19"/>
      <c r="L1" s="74" t="s">
        <v>1647</v>
      </c>
      <c r="M1" s="162">
        <f>IF(O12&lt;4,0,SUM(Transportation!L55+Donor!L57+Office!L55+'Out-of-town'!L59+'Professional Growth'!L56+'Min Ops'!L62+'2nd page'!L52+Equipment!N53))</f>
        <v>0</v>
      </c>
      <c r="O1" s="330">
        <v>1</v>
      </c>
      <c r="P1" s="330">
        <v>1</v>
      </c>
      <c r="Q1" s="337">
        <v>1</v>
      </c>
    </row>
    <row r="2" spans="1:17" ht="21.75" customHeight="1" x14ac:dyDescent="0.3">
      <c r="A2" s="600"/>
      <c r="B2" s="600"/>
      <c r="C2" s="591" t="str">
        <f ca="1">IF(F7&gt;F8,"Unfortunately your form is out of date. Please click on the link below and download a new form.",IF(AND(M1&gt;0,M2=0),"THIS REIMBURSEMENT WILL NOT BE PROCESSED UNTIL REQUIRED RECEIPT(S) IS RECEIVED FROM THIS REQUEST",""))</f>
        <v/>
      </c>
      <c r="D2" s="591"/>
      <c r="E2" s="591"/>
      <c r="F2" s="591"/>
      <c r="G2" s="18"/>
      <c r="H2" s="151"/>
      <c r="I2" s="18"/>
      <c r="J2" s="18"/>
      <c r="K2" s="18"/>
      <c r="L2" s="5" t="s">
        <v>283</v>
      </c>
      <c r="M2" s="152">
        <f>SUM(Transportation!N53+Donor!N55+Office!N54+'Out-of-town'!N58+'Professional Growth'!N55+'Min Ops'!N60+Equipment!P52+'2nd page'!N51)</f>
        <v>0</v>
      </c>
    </row>
    <row r="3" spans="1:17" ht="21.6" customHeight="1" x14ac:dyDescent="0.25">
      <c r="A3" s="600"/>
      <c r="B3" s="600"/>
      <c r="C3" s="591"/>
      <c r="D3" s="591"/>
      <c r="E3" s="591"/>
      <c r="F3" s="591"/>
      <c r="G3" s="18"/>
      <c r="H3" s="21" t="s">
        <v>57</v>
      </c>
      <c r="I3" s="22"/>
      <c r="J3" s="22"/>
      <c r="K3" s="22"/>
      <c r="L3" s="22"/>
      <c r="M3" s="22"/>
    </row>
    <row r="4" spans="1:17" ht="21" customHeight="1" x14ac:dyDescent="0.2">
      <c r="A4" s="600"/>
      <c r="B4" s="600"/>
      <c r="C4" s="591"/>
      <c r="D4" s="591"/>
      <c r="E4" s="591"/>
      <c r="F4" s="591"/>
      <c r="G4" s="18"/>
      <c r="H4" s="525" t="s">
        <v>58</v>
      </c>
      <c r="I4" s="524" t="str">
        <f>IF(B9=0,"",B9)</f>
        <v>Gordy Decker</v>
      </c>
      <c r="J4" s="524"/>
      <c r="K4" s="524"/>
      <c r="L4" s="524"/>
      <c r="M4" s="524"/>
    </row>
    <row r="5" spans="1:17" ht="19.5" customHeight="1" x14ac:dyDescent="0.25">
      <c r="A5" s="271" t="str">
        <f>"Form last updated: "&amp;TEXT(L45,"mm/dd/yy")</f>
        <v>Form last updated: 03/26/19</v>
      </c>
      <c r="B5" s="20"/>
      <c r="C5" s="477" t="s">
        <v>1034</v>
      </c>
      <c r="D5" s="249"/>
      <c r="E5" s="248"/>
      <c r="F5" s="247"/>
      <c r="G5" s="18"/>
      <c r="H5" s="525"/>
      <c r="I5" s="524"/>
      <c r="J5" s="524"/>
      <c r="K5" s="524"/>
      <c r="L5" s="524"/>
      <c r="M5" s="524"/>
    </row>
    <row r="6" spans="1:17" ht="41.25" customHeight="1" x14ac:dyDescent="0.2">
      <c r="A6" s="356" t="s">
        <v>711</v>
      </c>
      <c r="B6" s="598" t="str">
        <f ca="1">R32</f>
        <v>This Month's deadline is Monday, 07/01/2019 at 12 p.m. MST/MDT (midnight)</v>
      </c>
      <c r="C6" s="598"/>
      <c r="D6" s="598"/>
      <c r="E6" s="598"/>
      <c r="F6" s="266">
        <f ca="1">TODAY()</f>
        <v>43620</v>
      </c>
      <c r="G6" s="18"/>
      <c r="H6" s="526" t="s">
        <v>1653</v>
      </c>
      <c r="I6" s="527"/>
      <c r="J6" s="527"/>
      <c r="K6" s="527"/>
      <c r="L6" s="527"/>
      <c r="M6" s="528"/>
      <c r="N6" s="444" t="str">
        <f ca="1">IF(F7&gt;41670,"Your form is out of date. Please visit http://financeisi.weebly.com/reimbursements.html and download a new form","")</f>
        <v>Your form is out of date. Please visit http://financeisi.weebly.com/reimbursements.html and download a new form</v>
      </c>
    </row>
    <row r="7" spans="1:17" ht="23.25" customHeight="1" x14ac:dyDescent="0.25">
      <c r="A7" s="357">
        <v>43374</v>
      </c>
      <c r="B7" s="597" t="str">
        <f ca="1">IF(L45&gt;L46,"Review before uploading on Weebly",IF(lookup_date="past","You have missed the deadline",IF(OR(AND(submit_date=warning_date,current_time&gt;dealine_time),submit_date&gt;warning_date),"You have missed the deadline","Warning!! This form expires on "&amp;TEXT(F8,"mm/dd/yy"))))</f>
        <v>Warning!! This form expires on 07/31/19</v>
      </c>
      <c r="C7" s="597"/>
      <c r="D7" s="597"/>
      <c r="E7" s="597"/>
      <c r="F7" s="366">
        <f ca="1">IF(OR(I11&gt;0,D40&gt;0),submit_date,F6)</f>
        <v>43620</v>
      </c>
      <c r="H7" s="128" t="str">
        <f>IF(E9&gt;5800,"City Director/Supervisor","RFD/Supervisor")</f>
        <v>RFD/Supervisor</v>
      </c>
      <c r="I7" s="530"/>
      <c r="J7" s="530"/>
      <c r="K7" s="530"/>
      <c r="L7" s="530"/>
      <c r="M7" s="531"/>
    </row>
    <row r="8" spans="1:17" ht="19.5" customHeight="1" x14ac:dyDescent="0.2">
      <c r="D8" s="607" t="str">
        <f>IF(ProjectCode="","",VLOOKUP(ProjectCode,projects_ref,3,))</f>
        <v/>
      </c>
      <c r="E8" s="607"/>
      <c r="F8" s="431">
        <v>43677</v>
      </c>
      <c r="G8" s="106" t="str">
        <f>IF(AND(E9&gt;5799,E9&lt;5901),"CD","")</f>
        <v/>
      </c>
      <c r="H8" s="251" t="e">
        <f>IF(VLOOKUP(E9,Supervisor,3,)=" "," ",VLOOKUP(E9,Supervisor,3,)&amp;" Approves")</f>
        <v>#N/A</v>
      </c>
      <c r="I8" s="532"/>
      <c r="J8" s="532"/>
      <c r="K8" s="532"/>
      <c r="L8" s="532"/>
      <c r="M8" s="533"/>
    </row>
    <row r="9" spans="1:17" ht="18" customHeight="1" x14ac:dyDescent="0.3">
      <c r="A9" s="23" t="s">
        <v>662</v>
      </c>
      <c r="B9" s="95" t="s">
        <v>1926</v>
      </c>
      <c r="C9" s="24" t="s">
        <v>84</v>
      </c>
      <c r="D9" s="212" t="str">
        <f>IF(ProjectCode=0,"",IF(OR(F9="e",F9="escrow"),501,VLOOKUP(ProjectCode,projects_ref,2,)))</f>
        <v/>
      </c>
      <c r="E9" s="219"/>
      <c r="F9" s="269"/>
      <c r="H9" s="121" t="s">
        <v>127</v>
      </c>
      <c r="I9" s="538"/>
      <c r="J9" s="538"/>
      <c r="K9" s="538"/>
      <c r="L9" s="538"/>
      <c r="M9" s="539"/>
    </row>
    <row r="10" spans="1:17" ht="18" customHeight="1" x14ac:dyDescent="0.3">
      <c r="A10" s="235" t="s">
        <v>160</v>
      </c>
      <c r="B10" s="236" t="str">
        <f>VLOOKUP(A10,'Vendor IDS'!L2:M298,2,)</f>
        <v xml:space="preserve"> </v>
      </c>
      <c r="C10" s="23"/>
      <c r="D10" s="595" t="s">
        <v>106</v>
      </c>
      <c r="E10" s="596"/>
      <c r="F10" s="270"/>
      <c r="H10" s="120"/>
      <c r="I10" s="540"/>
      <c r="J10" s="540"/>
      <c r="K10" s="540"/>
      <c r="L10" s="540"/>
      <c r="M10" s="541"/>
    </row>
    <row r="11" spans="1:17" ht="18" customHeight="1" x14ac:dyDescent="0.3">
      <c r="A11" s="23"/>
      <c r="B11" s="23"/>
      <c r="C11" s="99" t="s">
        <v>111</v>
      </c>
      <c r="D11" s="593"/>
      <c r="E11" s="593"/>
      <c r="F11" s="593"/>
      <c r="H11" s="121" t="s">
        <v>59</v>
      </c>
      <c r="I11" s="534"/>
      <c r="J11" s="534"/>
      <c r="K11" s="534"/>
      <c r="L11" s="534"/>
      <c r="M11" s="535"/>
    </row>
    <row r="12" spans="1:17" ht="18" customHeight="1" x14ac:dyDescent="0.3">
      <c r="A12" s="23" t="s">
        <v>60</v>
      </c>
      <c r="B12" s="180"/>
      <c r="D12" s="182"/>
      <c r="F12" s="17"/>
      <c r="H12" s="181"/>
      <c r="I12" s="536"/>
      <c r="J12" s="536"/>
      <c r="K12" s="536"/>
      <c r="L12" s="536"/>
      <c r="M12" s="537"/>
      <c r="O12" s="338">
        <f>COUNTA(B9)+COUNTA(ProjectCode)+COUNTA(Description)+COUNTA(submit_date)</f>
        <v>1</v>
      </c>
    </row>
    <row r="13" spans="1:17" ht="18" customHeight="1" x14ac:dyDescent="0.3">
      <c r="A13" s="42"/>
      <c r="B13" s="132"/>
      <c r="C13" s="24" t="s">
        <v>110</v>
      </c>
      <c r="D13" s="594"/>
      <c r="E13" s="594"/>
      <c r="F13" s="430">
        <f>submit_date</f>
        <v>0</v>
      </c>
      <c r="G13" s="1"/>
    </row>
    <row r="14" spans="1:17" ht="13.5" thickBot="1" x14ac:dyDescent="0.25">
      <c r="A14" s="17"/>
      <c r="B14" s="17"/>
      <c r="C14" s="17"/>
      <c r="D14" s="94" t="s">
        <v>103</v>
      </c>
      <c r="E14" s="94"/>
      <c r="F14" s="17"/>
      <c r="G14" s="17"/>
      <c r="H14" s="17"/>
      <c r="I14" s="17"/>
      <c r="J14" s="17"/>
      <c r="K14" s="17"/>
      <c r="L14" s="17"/>
      <c r="M14" s="17"/>
    </row>
    <row r="15" spans="1:17" ht="16.5" thickBot="1" x14ac:dyDescent="0.3">
      <c r="A15" s="624" t="s">
        <v>61</v>
      </c>
      <c r="B15" s="625"/>
      <c r="C15" s="25"/>
      <c r="D15" s="622" t="s">
        <v>31</v>
      </c>
      <c r="E15" s="623"/>
      <c r="F15" s="623"/>
      <c r="H15" s="96" t="s">
        <v>62</v>
      </c>
      <c r="I15" s="82"/>
      <c r="J15" s="82"/>
      <c r="K15" s="82"/>
      <c r="L15" s="82"/>
      <c r="M15" s="82"/>
    </row>
    <row r="16" spans="1:17" ht="13.5" thickBot="1" x14ac:dyDescent="0.25">
      <c r="A16" s="544" t="str">
        <f>IF(OR(Office!A8&gt;0,Transportation!A8&gt;0,Donor!A8&gt;0,'Out-of-town'!A8&gt;0,'Professional Growth'!A8&gt;0,'Min Ops'!A8&gt;0,Equipment!A9&gt;0),"See Notes","")</f>
        <v/>
      </c>
      <c r="B16" s="546"/>
      <c r="C16" s="542"/>
      <c r="D16" s="544"/>
      <c r="E16" s="545"/>
      <c r="F16" s="546"/>
      <c r="H16" s="553" t="s">
        <v>63</v>
      </c>
      <c r="I16" s="554"/>
      <c r="J16" s="554"/>
      <c r="K16" s="554"/>
      <c r="L16" s="554"/>
      <c r="M16" s="555"/>
    </row>
    <row r="17" spans="1:38" ht="13.5" thickBot="1" x14ac:dyDescent="0.25">
      <c r="A17" s="547"/>
      <c r="B17" s="549"/>
      <c r="C17" s="543"/>
      <c r="D17" s="547"/>
      <c r="E17" s="548"/>
      <c r="F17" s="549"/>
      <c r="H17" s="26" t="s">
        <v>64</v>
      </c>
      <c r="I17" s="455"/>
      <c r="J17" s="455"/>
      <c r="K17" s="26"/>
      <c r="L17" s="26"/>
      <c r="M17" s="258"/>
    </row>
    <row r="18" spans="1:38" ht="24" customHeight="1" x14ac:dyDescent="0.25">
      <c r="A18" s="40" t="s">
        <v>65</v>
      </c>
      <c r="B18" s="41"/>
      <c r="C18" s="614" t="str">
        <f>Transportation!Q17&amp;Transportation!Q18&amp;Transportation!Q19&amp;Transportation!Q20&amp;Transportation!Q21&amp;Transportation!Q35&amp;Transportation!P36&amp;Transportation!P37&amp;Transportation!P38&amp;Transportation!P39&amp;Transportation!P40&amp;Transportation!P41&amp;Transportation!P42&amp;Transportation!P43&amp;Transportation!P45&amp;Transportation!P44&amp;Transportation!P46&amp;Transportation!P47&amp;Transportation!P48&amp;Transportation!P49&amp;Transportation!P50&amp;Transportation!P51&amp;Transportation!P52&amp;Mileage!M177</f>
        <v/>
      </c>
      <c r="D18" s="608" t="str">
        <f>IF(E9=0,"Please",IF(E9&gt;9999,"Please",Transportation!L57))</f>
        <v>Please</v>
      </c>
      <c r="E18" s="609"/>
      <c r="F18" s="610"/>
      <c r="G18" s="29"/>
      <c r="H18" s="453">
        <v>50101</v>
      </c>
      <c r="I18" s="529" t="str">
        <f>IF(M1&gt;0,"Don't Forget to Attach Your Receipts","")</f>
        <v/>
      </c>
      <c r="J18" s="529"/>
      <c r="K18" s="30"/>
      <c r="L18" s="31"/>
      <c r="M18" s="30"/>
    </row>
    <row r="19" spans="1:38" ht="18.75" customHeight="1" thickBot="1" x14ac:dyDescent="0.3">
      <c r="A19" s="32" t="s">
        <v>85</v>
      </c>
      <c r="B19" s="33"/>
      <c r="C19" s="615"/>
      <c r="D19" s="611"/>
      <c r="E19" s="612"/>
      <c r="F19" s="613"/>
      <c r="G19" s="29"/>
      <c r="H19" s="454">
        <f>Transportation!Y53+Mileage!T179</f>
        <v>0</v>
      </c>
      <c r="I19" s="529"/>
      <c r="J19" s="529"/>
      <c r="K19" s="34" t="s">
        <v>173</v>
      </c>
      <c r="L19" s="35"/>
      <c r="M19" s="34"/>
    </row>
    <row r="20" spans="1:38" ht="20.25" customHeight="1" x14ac:dyDescent="0.3">
      <c r="A20" s="27" t="s">
        <v>66</v>
      </c>
      <c r="B20" s="28"/>
      <c r="C20" s="574" t="str">
        <f>Donor!Q17&amp;Donor!Q18&amp;Donor!Q19&amp;Donor!Q20&amp;Donor!Q21&amp;Donor!Q22&amp;Donor!Q33&amp;Donor!Q34&amp;Donor!Q35&amp;Donor!Q36&amp;Donor!Q37&amp;Donor!Q38&amp;Donor!Q39&amp;Donor!Q40&amp;Donor!Q41&amp;Donor!Q42&amp;Donor!Q43&amp;Donor!Q44&amp;Donor!Q45&amp;Donor!Q46&amp;Donor!Q47&amp;Donor!Q48&amp;Donor!Q49&amp;Donor!Q50&amp;Donor!Q51&amp;Donor!Q52&amp;Donor!Q53&amp;Donor!Q54&amp;'Meals-Donor'!L44</f>
        <v xml:space="preserve">                                 </v>
      </c>
      <c r="D20" s="568" t="str">
        <f>IF(E9=0,"Enter",IF(E9&gt;9999,"Enter",Donor!L59))</f>
        <v>Enter</v>
      </c>
      <c r="E20" s="569"/>
      <c r="F20" s="570"/>
      <c r="G20" s="29"/>
      <c r="H20" s="453">
        <v>50103</v>
      </c>
      <c r="I20" s="529"/>
      <c r="J20" s="529"/>
      <c r="K20" s="551" t="str">
        <f ca="1">IF(Date_RCVD=0,UPPER(LEFT(B9,3))&amp;UPPER(RIGHT(B9,2))&amp;F6&amp;"-"&amp;RIGHT(ProjectCode,2),UPPER(LEFT(B9,3))&amp;UPPER(RIGHT(B9,2))&amp;Date_RCVD&amp;"-"&amp;RIGHT(ProjectCode,2))</f>
        <v>GORER43620-</v>
      </c>
      <c r="L20" s="551"/>
      <c r="M20" s="34"/>
      <c r="W20" s="330" t="s">
        <v>28</v>
      </c>
      <c r="X20" s="14" t="s">
        <v>163</v>
      </c>
      <c r="Y20" s="133" t="s">
        <v>1631</v>
      </c>
      <c r="Z20" s="14" t="s">
        <v>182</v>
      </c>
      <c r="AA20" s="14" t="s">
        <v>164</v>
      </c>
      <c r="AB20" s="14" t="s">
        <v>165</v>
      </c>
      <c r="AC20" s="14" t="s">
        <v>166</v>
      </c>
      <c r="AD20" s="14" t="s">
        <v>167</v>
      </c>
      <c r="AE20" s="14" t="s">
        <v>168</v>
      </c>
      <c r="AF20" s="14" t="s">
        <v>169</v>
      </c>
      <c r="AG20" s="14" t="s">
        <v>170</v>
      </c>
      <c r="AH20" s="14" t="s">
        <v>171</v>
      </c>
      <c r="AI20" s="14" t="s">
        <v>172</v>
      </c>
      <c r="AJ20" s="14" t="s">
        <v>174</v>
      </c>
      <c r="AK20" s="14"/>
      <c r="AL20" s="14" t="s">
        <v>699</v>
      </c>
    </row>
    <row r="21" spans="1:38" ht="18.75" customHeight="1" thickBot="1" x14ac:dyDescent="0.3">
      <c r="A21" s="32" t="s">
        <v>74</v>
      </c>
      <c r="B21" s="33"/>
      <c r="C21" s="575"/>
      <c r="D21" s="571"/>
      <c r="E21" s="572"/>
      <c r="F21" s="573"/>
      <c r="G21" s="29"/>
      <c r="H21" s="454">
        <f>Donor!Y55+'Meals-Donor'!U44</f>
        <v>0</v>
      </c>
      <c r="I21" s="529"/>
      <c r="J21" s="529"/>
      <c r="K21" s="34" t="s">
        <v>67</v>
      </c>
      <c r="L21" s="34"/>
      <c r="M21" s="303" t="str">
        <f>IF(M22&gt;0,"Void","")</f>
        <v/>
      </c>
      <c r="N21" s="330"/>
      <c r="W21" s="429" t="str">
        <f t="shared" ref="W21:W36" si="0">IF(Date_Processed="","",Date_Processed)</f>
        <v/>
      </c>
      <c r="X21" s="14" t="str">
        <f ca="1">IF(Invoice_number="","",Invoice_number)</f>
        <v>GORER43620-</v>
      </c>
      <c r="Y21" s="14" t="str">
        <f ca="1">IF(Total_Reimb=0,"",Total_Reimb)</f>
        <v/>
      </c>
      <c r="Z21" s="14" t="str">
        <f t="shared" ref="Z21:Z36" si="1">IF(Description="","",LEFT(TEXT(Description,"dd mmm yyy"),60))</f>
        <v/>
      </c>
      <c r="AA21" s="14" t="str">
        <f>IF(pcode=" ",IF(ProjectCode="","",VLOOKUP(ProjectCode,Vendor_id,2,)),IF(pcode="","",VLOOKUP(pcode,Vendor_id,2,)))</f>
        <v/>
      </c>
      <c r="AB21" s="220" t="str">
        <f>W21</f>
        <v/>
      </c>
      <c r="AC21" s="14" t="str">
        <f>IF(FundCode="","",FundCode)</f>
        <v/>
      </c>
      <c r="AD21" s="14">
        <f>transcode</f>
        <v>50101</v>
      </c>
      <c r="AE21" s="14">
        <f t="shared" ref="AE21:AE32" si="2">ProjectCode</f>
        <v>0</v>
      </c>
      <c r="AF21" s="14" t="str">
        <f>IF(transportation_amt&gt;0,transportation_amt,0)</f>
        <v>Please</v>
      </c>
      <c r="AG21" s="14">
        <f>IF(Summary!D18&lt;0,-Summary!D18,0)</f>
        <v>0</v>
      </c>
      <c r="AH21" s="14" t="s">
        <v>183</v>
      </c>
      <c r="AI21" s="14">
        <f ca="1">Summary!$D$44</f>
        <v>0</v>
      </c>
      <c r="AJ21" s="14">
        <f t="shared" ref="AJ21:AJ36" si="3">BatchNumber</f>
        <v>0</v>
      </c>
      <c r="AK21" s="14"/>
      <c r="AL21" s="14" t="e">
        <f t="shared" ref="AL21:AL36" si="4">IF(pcode=" ",VLOOKUP(ProjectCode,vendor_address,4,),VLOOKUP(pcode,vendor_address,4,))</f>
        <v>#N/A</v>
      </c>
    </row>
    <row r="22" spans="1:38" ht="21" customHeight="1" thickBot="1" x14ac:dyDescent="0.35">
      <c r="A22" s="27" t="s">
        <v>68</v>
      </c>
      <c r="B22" s="28"/>
      <c r="C22" s="589" t="str">
        <f>Office!Q16&amp;Office!Q17&amp;Office!Q18&amp;Office!Q19&amp;Office!Q33&amp;Office!Q34&amp;Office!Q35&amp;Office!Q36&amp;Office!Q37&amp;Office!Q38&amp;Office!Q39&amp;Office!Q40&amp;Office!Q41&amp;Office!Q42&amp;Office!Q43&amp;Office!Q44&amp;Office!Q45&amp;Office!Q46&amp;Office!Q47&amp;Office!Q48&amp;Office!Q49&amp;Office!Q50&amp;Office!Q51&amp;Office!Q52&amp;Office!Q53</f>
        <v/>
      </c>
      <c r="D22" s="568" t="str">
        <f>IFERROR(IF(E9=0,"Fund",IF(E9&gt;9999,"Fund",Office!L57+Equipment!N54)),"")</f>
        <v>Fund</v>
      </c>
      <c r="E22" s="569"/>
      <c r="F22" s="570"/>
      <c r="G22" s="29"/>
      <c r="H22" s="453">
        <v>50105</v>
      </c>
      <c r="I22" s="529"/>
      <c r="J22" s="529"/>
      <c r="K22" s="552"/>
      <c r="L22" s="552"/>
      <c r="M22" s="259"/>
      <c r="N22" s="330"/>
      <c r="Q22" s="337">
        <f>IF(H42&gt;0,1,0)</f>
        <v>0</v>
      </c>
      <c r="R22" s="330"/>
      <c r="S22" s="330"/>
      <c r="W22" s="429" t="str">
        <f t="shared" si="0"/>
        <v/>
      </c>
      <c r="X22" s="14" t="str">
        <f t="shared" ref="X22:X36" ca="1" si="5">Invoice_number</f>
        <v>GORER43620-</v>
      </c>
      <c r="Y22" s="14">
        <f t="shared" ref="Y22:Y36" ca="1" si="6">Total_Reimb</f>
        <v>0</v>
      </c>
      <c r="Z22" s="14" t="str">
        <f t="shared" si="1"/>
        <v/>
      </c>
      <c r="AA22" s="14" t="str">
        <f t="shared" ref="AA22:AA36" si="7">IF(pcode=" ",IF(ProjectCode="","",VLOOKUP(ProjectCode,Vendor_id,2,)),IF(pcode="","",VLOOKUP(pcode,Vendor_id,2,)))</f>
        <v/>
      </c>
      <c r="AB22" s="220" t="str">
        <f t="shared" ref="AB22:AB35" si="8">W22</f>
        <v/>
      </c>
      <c r="AC22" s="14" t="str">
        <f t="shared" ref="AC22:AC36" si="9">FundCode</f>
        <v/>
      </c>
      <c r="AD22" s="14">
        <f>donorcode</f>
        <v>50103</v>
      </c>
      <c r="AE22" s="14">
        <f t="shared" si="2"/>
        <v>0</v>
      </c>
      <c r="AF22" s="14" t="str">
        <f>IF(Donor_amt&gt;0,Donor_amt,0)</f>
        <v>Enter</v>
      </c>
      <c r="AG22" s="14">
        <f>IF(Summary!D20&lt;0,-Summary!D20,0)</f>
        <v>0</v>
      </c>
      <c r="AH22" s="14" t="s">
        <v>183</v>
      </c>
      <c r="AI22" s="14">
        <f ca="1">Summary!$D$44</f>
        <v>0</v>
      </c>
      <c r="AJ22" s="14">
        <f t="shared" si="3"/>
        <v>0</v>
      </c>
      <c r="AK22" s="14"/>
      <c r="AL22" s="14" t="e">
        <f t="shared" si="4"/>
        <v>#N/A</v>
      </c>
    </row>
    <row r="23" spans="1:38" ht="18" customHeight="1" thickBot="1" x14ac:dyDescent="0.3">
      <c r="A23" s="32" t="s">
        <v>86</v>
      </c>
      <c r="B23" s="33"/>
      <c r="C23" s="592"/>
      <c r="D23" s="571"/>
      <c r="E23" s="572"/>
      <c r="F23" s="573"/>
      <c r="G23" s="29"/>
      <c r="H23" s="454">
        <f>Office!Y54</f>
        <v>0</v>
      </c>
      <c r="I23" s="529"/>
      <c r="J23" s="529"/>
      <c r="K23" s="34"/>
      <c r="L23" s="34"/>
      <c r="M23" s="303" t="str">
        <f>IF(LEFT(M24,3)="apm","Credit Memo",IF(LEFT(M24,3)="API","Reissue",""))</f>
        <v/>
      </c>
      <c r="N23" s="330"/>
      <c r="Q23" s="344">
        <f ca="1">TODAY()-Q26</f>
        <v>43620</v>
      </c>
      <c r="R23" s="330"/>
      <c r="S23" s="330"/>
      <c r="T23" s="330"/>
      <c r="U23" s="330"/>
      <c r="V23" s="324"/>
      <c r="W23" s="429" t="str">
        <f t="shared" si="0"/>
        <v/>
      </c>
      <c r="X23" s="14" t="str">
        <f t="shared" ca="1" si="5"/>
        <v>GORER43620-</v>
      </c>
      <c r="Y23" s="14">
        <f t="shared" ca="1" si="6"/>
        <v>0</v>
      </c>
      <c r="Z23" s="14" t="str">
        <f t="shared" si="1"/>
        <v/>
      </c>
      <c r="AA23" s="14" t="str">
        <f t="shared" si="7"/>
        <v/>
      </c>
      <c r="AB23" s="220" t="str">
        <f t="shared" si="8"/>
        <v/>
      </c>
      <c r="AC23" s="14" t="str">
        <f t="shared" si="9"/>
        <v/>
      </c>
      <c r="AD23" s="14">
        <f>officecode</f>
        <v>50105</v>
      </c>
      <c r="AE23" s="14">
        <f t="shared" si="2"/>
        <v>0</v>
      </c>
      <c r="AF23" s="14" t="str">
        <f>IF(Office_amt&gt;0,Office_amt,0)</f>
        <v>Fund</v>
      </c>
      <c r="AG23" s="14">
        <f>IF(Summary!D22&lt;0,-Summary!D22,0)</f>
        <v>0</v>
      </c>
      <c r="AH23" s="14" t="s">
        <v>183</v>
      </c>
      <c r="AI23" s="14">
        <f ca="1">Summary!$D$44</f>
        <v>0</v>
      </c>
      <c r="AJ23" s="14">
        <f t="shared" si="3"/>
        <v>0</v>
      </c>
      <c r="AK23" s="14"/>
      <c r="AL23" s="14" t="e">
        <f t="shared" si="4"/>
        <v>#N/A</v>
      </c>
    </row>
    <row r="24" spans="1:38" ht="18.75" customHeight="1" thickBot="1" x14ac:dyDescent="0.3">
      <c r="A24" s="27" t="s">
        <v>69</v>
      </c>
      <c r="B24" s="28"/>
      <c r="C24" s="589" t="str">
        <f>'Out-of-town'!Q17&amp;'Out-of-town'!Q18&amp;'Out-of-town'!Q19&amp;'Out-of-town'!Q20&amp;'Out-of-town'!Q37&amp;'Out-of-town'!Q38&amp;'Out-of-town'!Q39&amp;'Out-of-town'!Q40&amp;'Out-of-town'!Q41&amp;'Out-of-town'!Q42&amp;'Out-of-town'!Q44&amp;'Out-of-town'!Q43&amp;'Out-of-town'!Q45&amp;'Out-of-town'!Q46&amp;'Out-of-town'!Q47&amp;'Out-of-town'!Q48&amp;'Out-of-town'!Q49&amp;'Out-of-town'!Q50&amp;'Out-of-town'!Q51&amp;'Out-of-town'!Q52&amp;'Out-of-town'!Q53&amp;'Out-of-town'!Q54&amp;'Out-of-town'!Q55&amp;'Out-of-town'!Q56&amp;'Out-of-town'!Q57</f>
        <v/>
      </c>
      <c r="D24" s="568" t="str">
        <f>IF(E9=0,"Number in",IF(E9&gt;9999,"Number in",'Out-of-town'!L61))</f>
        <v>Number in</v>
      </c>
      <c r="E24" s="569"/>
      <c r="F24" s="570"/>
      <c r="G24" s="29"/>
      <c r="H24" s="453">
        <v>50107</v>
      </c>
      <c r="I24" s="529"/>
      <c r="J24" s="529"/>
      <c r="K24" s="34" t="s">
        <v>28</v>
      </c>
      <c r="L24" s="34"/>
      <c r="M24" s="259"/>
      <c r="N24" s="330"/>
      <c r="P24" s="339" t="s">
        <v>1910</v>
      </c>
      <c r="Q24" s="337">
        <f>submit_date</f>
        <v>0</v>
      </c>
      <c r="R24" s="439">
        <f>Q24</f>
        <v>0</v>
      </c>
      <c r="T24" s="330"/>
      <c r="U24" s="330"/>
      <c r="V24" s="324"/>
      <c r="W24" s="429" t="str">
        <f t="shared" si="0"/>
        <v/>
      </c>
      <c r="X24" s="14" t="str">
        <f t="shared" ca="1" si="5"/>
        <v>GORER43620-</v>
      </c>
      <c r="Y24" s="14">
        <f t="shared" ca="1" si="6"/>
        <v>0</v>
      </c>
      <c r="Z24" s="14" t="str">
        <f t="shared" si="1"/>
        <v/>
      </c>
      <c r="AA24" s="14" t="str">
        <f t="shared" si="7"/>
        <v/>
      </c>
      <c r="AB24" s="220" t="str">
        <f t="shared" si="8"/>
        <v/>
      </c>
      <c r="AC24" s="14" t="str">
        <f t="shared" si="9"/>
        <v/>
      </c>
      <c r="AD24" s="14">
        <f>travelcode</f>
        <v>50107</v>
      </c>
      <c r="AE24" s="14">
        <f t="shared" si="2"/>
        <v>0</v>
      </c>
      <c r="AF24" s="14" t="str">
        <f>IF(Travel_amt&gt;0,Travel_amt,0)</f>
        <v>Number in</v>
      </c>
      <c r="AG24" s="14">
        <f>IF(Summary!D24&lt;0,-Summary!D24,0)</f>
        <v>0</v>
      </c>
      <c r="AH24" s="14" t="s">
        <v>183</v>
      </c>
      <c r="AI24" s="14">
        <f ca="1">Summary!$D$44</f>
        <v>0</v>
      </c>
      <c r="AJ24" s="14">
        <f t="shared" si="3"/>
        <v>0</v>
      </c>
      <c r="AK24" s="14"/>
      <c r="AL24" s="14" t="e">
        <f t="shared" si="4"/>
        <v>#N/A</v>
      </c>
    </row>
    <row r="25" spans="1:38" ht="21" customHeight="1" thickBot="1" x14ac:dyDescent="0.35">
      <c r="A25" s="32" t="s">
        <v>87</v>
      </c>
      <c r="B25" s="33"/>
      <c r="C25" s="592"/>
      <c r="D25" s="571"/>
      <c r="E25" s="572"/>
      <c r="F25" s="573"/>
      <c r="G25" s="29"/>
      <c r="H25" s="454">
        <f>'Out-of-town'!Y58</f>
        <v>0</v>
      </c>
      <c r="I25" s="529" t="str">
        <f>IF(M1&gt;0,"Keep Receipts for 18 Months","")</f>
        <v/>
      </c>
      <c r="J25" s="529"/>
      <c r="K25" s="560"/>
      <c r="L25" s="560"/>
      <c r="M25" s="34"/>
      <c r="N25" s="330"/>
      <c r="P25" s="339" t="s">
        <v>993</v>
      </c>
      <c r="Q25" s="337">
        <f>IF(submit_date&gt;0,Q24,dateofexpense)</f>
        <v>0</v>
      </c>
      <c r="R25" s="330"/>
      <c r="S25" s="339" t="s">
        <v>1099</v>
      </c>
      <c r="T25" s="550">
        <f ca="1">NOW()</f>
        <v>43620.429258217591</v>
      </c>
      <c r="U25" s="550"/>
      <c r="V25" s="341"/>
      <c r="W25" s="429" t="str">
        <f t="shared" si="0"/>
        <v/>
      </c>
      <c r="X25" s="14" t="str">
        <f t="shared" ca="1" si="5"/>
        <v>GORER43620-</v>
      </c>
      <c r="Y25" s="14">
        <f t="shared" ca="1" si="6"/>
        <v>0</v>
      </c>
      <c r="Z25" s="14" t="str">
        <f t="shared" si="1"/>
        <v/>
      </c>
      <c r="AA25" s="14" t="str">
        <f t="shared" si="7"/>
        <v/>
      </c>
      <c r="AB25" s="220" t="str">
        <f t="shared" si="8"/>
        <v/>
      </c>
      <c r="AC25" s="14" t="str">
        <f t="shared" si="9"/>
        <v/>
      </c>
      <c r="AD25" s="14">
        <f>growthcode</f>
        <v>50109</v>
      </c>
      <c r="AE25" s="14">
        <f t="shared" si="2"/>
        <v>0</v>
      </c>
      <c r="AF25" s="14" t="str">
        <f>IF(Growth_amt&gt;0,Growth_amt,0)</f>
        <v>Dept/Project</v>
      </c>
      <c r="AG25" s="14">
        <f>IF(Summary!W41&lt;0,Summary!W41,0)</f>
        <v>0</v>
      </c>
      <c r="AH25" s="14" t="s">
        <v>183</v>
      </c>
      <c r="AI25" s="14">
        <f ca="1">Summary!$D$44</f>
        <v>0</v>
      </c>
      <c r="AJ25" s="14">
        <f t="shared" si="3"/>
        <v>0</v>
      </c>
      <c r="AK25" s="14"/>
      <c r="AL25" s="14" t="e">
        <f t="shared" si="4"/>
        <v>#N/A</v>
      </c>
    </row>
    <row r="26" spans="1:38" ht="18" customHeight="1" x14ac:dyDescent="0.25">
      <c r="A26" s="27" t="s">
        <v>70</v>
      </c>
      <c r="B26" s="28"/>
      <c r="C26" s="589" t="str">
        <f>'Professional Growth'!Q17&amp;'Professional Growth'!Q18&amp;'Professional Growth'!Q19&amp;'Professional Growth'!Q20&amp;'Professional Growth'!Q21&amp;'Professional Growth'!Q35&amp;'Professional Growth'!Q36&amp;'Professional Growth'!Q37&amp;'Professional Growth'!Q38&amp;'Professional Growth'!Q39&amp;'Professional Growth'!Q40&amp;'Professional Growth'!Q41&amp;'Professional Growth'!Q42&amp;'Professional Growth'!Q43&amp;'Professional Growth'!Q44&amp;'Professional Growth'!Q45&amp;'Professional Growth'!Q46&amp;'Professional Growth'!Q47&amp;'Professional Growth'!Q48&amp;'Professional Growth'!Q49&amp;'Professional Growth'!Q50&amp;'Professional Growth'!Q52&amp;'Professional Growth'!Q53&amp;'Professional Growth'!Q54</f>
        <v/>
      </c>
      <c r="D26" s="568" t="str">
        <f>IF(E9=0,"Dept/Project",IF(E9&gt;9999,"Dept/Project",'Professional Growth'!L58))</f>
        <v>Dept/Project</v>
      </c>
      <c r="E26" s="569"/>
      <c r="F26" s="570"/>
      <c r="G26" s="29"/>
      <c r="H26" s="453">
        <v>50109</v>
      </c>
      <c r="I26" s="529"/>
      <c r="J26" s="529"/>
      <c r="K26" s="34"/>
      <c r="L26" s="34"/>
      <c r="M26" s="34"/>
      <c r="N26" s="330"/>
      <c r="P26" s="339" t="s">
        <v>994</v>
      </c>
      <c r="Q26" s="340">
        <f>IF(Transportation!A17&gt;0,Transportation!A17,IF(Mileage!A12&gt;0,Mileage!A12,IF(Donor!A17&gt;0,Donor!A17,IF(Office!A16&gt;0,Office!A16,IF('Out-of-town'!A17&gt;0,'Out-of-town'!A17,IF('Professional Growth'!A17&gt;0,'Professional Growth'!A17,IF('Min Ops'!A17&gt;0,'Min Ops'!A17,IF(Equipment!A18&gt;0,Equipment!A18,0))))))))</f>
        <v>0</v>
      </c>
      <c r="R26" s="339"/>
      <c r="S26" s="339" t="s">
        <v>1100</v>
      </c>
      <c r="T26" s="556">
        <f ca="1">Q37+TIME(23,59,59)</f>
        <v>43647.999988425923</v>
      </c>
      <c r="U26" s="557"/>
      <c r="V26" s="341"/>
      <c r="W26" s="429" t="str">
        <f t="shared" si="0"/>
        <v/>
      </c>
      <c r="X26" s="14" t="str">
        <f t="shared" ca="1" si="5"/>
        <v>GORER43620-</v>
      </c>
      <c r="Y26" s="14">
        <f t="shared" ca="1" si="6"/>
        <v>0</v>
      </c>
      <c r="Z26" s="14" t="str">
        <f t="shared" si="1"/>
        <v/>
      </c>
      <c r="AA26" s="14" t="str">
        <f t="shared" si="7"/>
        <v/>
      </c>
      <c r="AB26" s="220" t="str">
        <f t="shared" si="8"/>
        <v/>
      </c>
      <c r="AC26" s="14" t="str">
        <f t="shared" si="9"/>
        <v/>
      </c>
      <c r="AD26" s="14">
        <f>ministrycode</f>
        <v>50111</v>
      </c>
      <c r="AE26" s="14">
        <f t="shared" si="2"/>
        <v>0</v>
      </c>
      <c r="AF26" s="14" t="str">
        <f>IF(Ministry_amt&gt;0,Ministry_amt,0)</f>
        <v>Space Above</v>
      </c>
      <c r="AG26" s="14">
        <f>IF(Summary!W42&lt;0,Summary!W42,0)</f>
        <v>0</v>
      </c>
      <c r="AH26" s="14" t="s">
        <v>183</v>
      </c>
      <c r="AI26" s="14">
        <f ca="1">Summary!$D$44</f>
        <v>0</v>
      </c>
      <c r="AJ26" s="14">
        <f t="shared" si="3"/>
        <v>0</v>
      </c>
      <c r="AK26" s="14"/>
      <c r="AL26" s="14" t="e">
        <f t="shared" si="4"/>
        <v>#N/A</v>
      </c>
    </row>
    <row r="27" spans="1:38" ht="18.75" customHeight="1" thickBot="1" x14ac:dyDescent="0.3">
      <c r="A27" s="32" t="s">
        <v>75</v>
      </c>
      <c r="B27" s="33"/>
      <c r="C27" s="592"/>
      <c r="D27" s="571"/>
      <c r="E27" s="572"/>
      <c r="F27" s="573"/>
      <c r="G27" s="29"/>
      <c r="H27" s="454">
        <f>'Professional Growth'!Y55</f>
        <v>0</v>
      </c>
      <c r="I27" s="529"/>
      <c r="J27" s="529"/>
      <c r="L27" s="34"/>
      <c r="M27" s="34"/>
      <c r="N27" s="330"/>
      <c r="P27" s="339" t="s">
        <v>995</v>
      </c>
      <c r="Q27" s="340">
        <f ca="1">TODAY()</f>
        <v>43620</v>
      </c>
      <c r="R27" s="339"/>
      <c r="S27" s="330"/>
      <c r="T27" s="339">
        <f ca="1">IF(T25&gt;T26,1,2)</f>
        <v>2</v>
      </c>
      <c r="U27" s="330"/>
      <c r="V27" s="324"/>
      <c r="W27" s="429" t="str">
        <f t="shared" si="0"/>
        <v/>
      </c>
      <c r="X27" s="14" t="str">
        <f t="shared" ca="1" si="5"/>
        <v>GORER43620-</v>
      </c>
      <c r="Y27" s="14">
        <f t="shared" ca="1" si="6"/>
        <v>0</v>
      </c>
      <c r="Z27" s="14" t="str">
        <f t="shared" si="1"/>
        <v/>
      </c>
      <c r="AA27" s="14" t="str">
        <f t="shared" si="7"/>
        <v/>
      </c>
      <c r="AB27" s="220" t="str">
        <f t="shared" si="8"/>
        <v/>
      </c>
      <c r="AC27" s="14" t="str">
        <f t="shared" si="9"/>
        <v/>
      </c>
      <c r="AD27" s="14" t="str">
        <f>secondcode</f>
        <v>00000</v>
      </c>
      <c r="AE27" s="14">
        <f t="shared" si="2"/>
        <v>0</v>
      </c>
      <c r="AF27" s="14" t="str">
        <f>IF(second_amt&gt;0,second_amt,0)</f>
        <v>Enter Description</v>
      </c>
      <c r="AG27" s="14">
        <f>IF(Summary!W43&lt;0,Summary!W43,0)</f>
        <v>0</v>
      </c>
      <c r="AH27" s="14" t="s">
        <v>183</v>
      </c>
      <c r="AI27" s="14">
        <f ca="1">Summary!$D$44</f>
        <v>0</v>
      </c>
      <c r="AJ27" s="14">
        <f t="shared" si="3"/>
        <v>0</v>
      </c>
      <c r="AK27" s="14"/>
      <c r="AL27" s="14" t="e">
        <f t="shared" si="4"/>
        <v>#N/A</v>
      </c>
    </row>
    <row r="28" spans="1:38" ht="20.25" customHeight="1" x14ac:dyDescent="0.25">
      <c r="A28" s="27" t="s">
        <v>71</v>
      </c>
      <c r="B28" s="28"/>
      <c r="C28" s="589" t="str">
        <f>'Min Ops'!Q17&amp;'Min Ops'!Q18&amp;'Min Ops'!Q19&amp;'Min Ops'!Q20&amp;'Min Ops'!Q44&amp;'Min Ops'!Q45&amp;'Min Ops'!Q46&amp;'Min Ops'!Q47&amp;'Min Ops'!Q48&amp;'Min Ops'!Q49&amp;'Min Ops'!Q50&amp;'Min Ops'!Q52&amp;'Min Ops'!Q51&amp;'Min Ops'!Q53&amp;'Min Ops'!Q54&amp;'Min Ops'!Q55&amp;'Min Ops'!Q56&amp;'Min Ops'!Q57&amp;'Min Ops'!Q58&amp;'Min Ops'!Q59&amp;'Meals-Students'!L44</f>
        <v xml:space="preserve">                                 </v>
      </c>
      <c r="D28" s="568" t="str">
        <f>IF(E9=0,"Space Above",IF(E9&gt;9999,"Space Above",'Min Ops'!L64))</f>
        <v>Space Above</v>
      </c>
      <c r="E28" s="569"/>
      <c r="F28" s="570"/>
      <c r="G28" s="29"/>
      <c r="H28" s="453">
        <v>50111</v>
      </c>
      <c r="I28" s="529"/>
      <c r="J28" s="529"/>
      <c r="K28" s="561" t="str">
        <f>IF(OR(Office!W54&gt;0,Donor!W55&gt;0,Mileage!R180&gt;0,Transportation!W53&gt;0,'Meals-Donor'!Q44,'Out-of-town'!W58&gt;0,'Professional Growth'!W55&gt;0,'Min Ops'!W60&gt;0,'Meals-Students'!Q44&gt;0,Equipment!AM52&gt;0,'2nd page'!W51&gt;0),"Exception To Policy","")</f>
        <v>Exception To Policy</v>
      </c>
      <c r="L28" s="561"/>
      <c r="M28" s="34"/>
      <c r="N28" s="330"/>
      <c r="P28" s="339" t="s">
        <v>996</v>
      </c>
      <c r="Q28" s="340">
        <f ca="1">Q27-30</f>
        <v>43590</v>
      </c>
      <c r="R28" s="339"/>
      <c r="S28" s="330"/>
      <c r="T28" s="339"/>
      <c r="U28" s="330"/>
      <c r="V28" s="324"/>
      <c r="W28" s="429" t="str">
        <f t="shared" si="0"/>
        <v/>
      </c>
      <c r="X28" s="14" t="str">
        <f t="shared" ca="1" si="5"/>
        <v>GORER43620-</v>
      </c>
      <c r="Y28" s="14">
        <f t="shared" ca="1" si="6"/>
        <v>0</v>
      </c>
      <c r="Z28" s="14" t="str">
        <f t="shared" si="1"/>
        <v/>
      </c>
      <c r="AA28" s="14" t="str">
        <f t="shared" si="7"/>
        <v/>
      </c>
      <c r="AB28" s="220" t="str">
        <f t="shared" si="8"/>
        <v/>
      </c>
      <c r="AC28" s="14" t="str">
        <f t="shared" si="9"/>
        <v/>
      </c>
      <c r="AD28" s="14">
        <f>equipcode</f>
        <v>50113</v>
      </c>
      <c r="AE28" s="14">
        <f t="shared" si="2"/>
        <v>0</v>
      </c>
      <c r="AF28" s="14" t="str">
        <f>IF(Equip_amt&gt;0,Equip_amt,0)</f>
        <v>Please Enter</v>
      </c>
      <c r="AG28" s="14">
        <f>IF(Summary!W44&lt;0,Summary!W44,0)</f>
        <v>0</v>
      </c>
      <c r="AH28" s="14" t="s">
        <v>183</v>
      </c>
      <c r="AI28" s="14">
        <f ca="1">Summary!$D$44</f>
        <v>0</v>
      </c>
      <c r="AJ28" s="14">
        <f t="shared" si="3"/>
        <v>0</v>
      </c>
      <c r="AK28" s="14"/>
      <c r="AL28" s="14" t="e">
        <f t="shared" si="4"/>
        <v>#N/A</v>
      </c>
    </row>
    <row r="29" spans="1:38" ht="18.75" customHeight="1" thickBot="1" x14ac:dyDescent="0.3">
      <c r="A29" s="32" t="s">
        <v>88</v>
      </c>
      <c r="B29" s="33"/>
      <c r="C29" s="592"/>
      <c r="D29" s="571"/>
      <c r="E29" s="572"/>
      <c r="F29" s="573"/>
      <c r="G29" s="29"/>
      <c r="H29" s="454">
        <f>'Min Ops'!Y60+'Meals-Students'!U44</f>
        <v>0</v>
      </c>
      <c r="I29" s="529"/>
      <c r="J29" s="529"/>
      <c r="K29" s="561"/>
      <c r="L29" s="561"/>
      <c r="M29" s="34"/>
      <c r="N29" s="330"/>
      <c r="P29" s="339" t="s">
        <v>997</v>
      </c>
      <c r="Q29" s="340">
        <f ca="1">Q27-60</f>
        <v>43560</v>
      </c>
      <c r="R29" s="339"/>
      <c r="S29" s="342"/>
      <c r="T29" s="339"/>
      <c r="U29" s="330"/>
      <c r="V29" s="324"/>
      <c r="W29" s="429" t="str">
        <f t="shared" si="0"/>
        <v/>
      </c>
      <c r="X29" s="14" t="str">
        <f t="shared" ca="1" si="5"/>
        <v>GORER43620-</v>
      </c>
      <c r="Y29" s="14">
        <f t="shared" ca="1" si="6"/>
        <v>0</v>
      </c>
      <c r="Z29" s="14" t="str">
        <f t="shared" si="1"/>
        <v/>
      </c>
      <c r="AA29" s="14" t="str">
        <f t="shared" si="7"/>
        <v/>
      </c>
      <c r="AB29" s="220" t="str">
        <f t="shared" si="8"/>
        <v/>
      </c>
      <c r="AC29" s="14" t="str">
        <f t="shared" si="9"/>
        <v/>
      </c>
      <c r="AD29" s="14">
        <v>50114</v>
      </c>
      <c r="AE29" s="14">
        <f t="shared" si="2"/>
        <v>0</v>
      </c>
      <c r="AF29" s="14" t="str">
        <f>IF(Capital_amt&gt;0,Capital_amt,0)</f>
        <v>Date Submitted</v>
      </c>
      <c r="AG29" s="14">
        <f>IF(Summary!W45&lt;0,Summary!W45,0)</f>
        <v>0</v>
      </c>
      <c r="AH29" s="14" t="s">
        <v>183</v>
      </c>
      <c r="AI29" s="14">
        <f ca="1">Summary!$D$44</f>
        <v>0</v>
      </c>
      <c r="AJ29" s="14">
        <f t="shared" si="3"/>
        <v>0</v>
      </c>
      <c r="AK29" s="14"/>
      <c r="AL29" s="14" t="e">
        <f t="shared" si="4"/>
        <v>#N/A</v>
      </c>
    </row>
    <row r="30" spans="1:38" ht="18" customHeight="1" x14ac:dyDescent="0.25">
      <c r="A30" s="27" t="s">
        <v>114</v>
      </c>
      <c r="B30" s="28" t="str">
        <f>IF('2nd page'!C1=0,"",'2nd page'!C1)</f>
        <v>none</v>
      </c>
      <c r="C30" s="589" t="str">
        <f>'2nd page'!Q17&amp;'2nd page'!Q18&amp;'2nd page'!Q19&amp;'2nd page'!Q20&amp;'2nd page'!Q21&amp;'2nd page'!Q34&amp;'2nd page'!Q35&amp;'2nd page'!Q36&amp;'2nd page'!Q37&amp;'2nd page'!Q38&amp;'2nd page'!Q39&amp;'2nd page'!Q40&amp;'2nd page'!Q41&amp;'2nd page'!Q42&amp;'2nd page'!Q43&amp;'2nd page'!Q49&amp;'2nd page'!Q50&amp;'2nd page'!Q54&amp;'2nd page'!Q55</f>
        <v/>
      </c>
      <c r="D30" s="616" t="str">
        <f>IF(D11=0,"Enter Description",'2nd page'!L54)</f>
        <v>Enter Description</v>
      </c>
      <c r="E30" s="617"/>
      <c r="F30" s="618"/>
      <c r="G30" s="29"/>
      <c r="H30" s="453" t="str">
        <f>VLOOKUP(B30,pagecode,2,)</f>
        <v>00000</v>
      </c>
      <c r="I30" s="529"/>
      <c r="J30" s="529"/>
      <c r="K30" s="561"/>
      <c r="L30" s="561"/>
      <c r="M30" s="34"/>
      <c r="N30" s="330"/>
      <c r="P30" s="339" t="s">
        <v>1000</v>
      </c>
      <c r="Q30" s="337">
        <f ca="1">IF(expense_date=0,todaysdate-1,IF(expense_date&lt;today_60,"PAST",IF(expense_date&lt;today_30,expense_date+30,IF(expense_date&gt;0,expense_date,TODAY()))))</f>
        <v>43619</v>
      </c>
      <c r="R30" s="439">
        <f ca="1">lookup_date</f>
        <v>43619</v>
      </c>
      <c r="S30" s="330"/>
      <c r="T30" s="339"/>
      <c r="U30" s="330"/>
      <c r="V30" s="324"/>
      <c r="W30" s="429" t="str">
        <f t="shared" si="0"/>
        <v/>
      </c>
      <c r="X30" s="14" t="str">
        <f t="shared" ca="1" si="5"/>
        <v>GORER43620-</v>
      </c>
      <c r="Y30" s="14">
        <f t="shared" ca="1" si="6"/>
        <v>0</v>
      </c>
      <c r="Z30" s="14" t="str">
        <f t="shared" si="1"/>
        <v/>
      </c>
      <c r="AA30" s="14" t="str">
        <f t="shared" si="7"/>
        <v/>
      </c>
      <c r="AB30" s="220" t="str">
        <f t="shared" ref="AB30:AB31" si="10">W30</f>
        <v/>
      </c>
      <c r="AC30" s="14" t="str">
        <f t="shared" si="9"/>
        <v/>
      </c>
      <c r="AD30" s="14">
        <v>50114</v>
      </c>
      <c r="AE30" s="14">
        <v>8999</v>
      </c>
      <c r="AF30" s="14">
        <f>AG29</f>
        <v>0</v>
      </c>
      <c r="AG30" s="14" t="str">
        <f>AF29</f>
        <v>Date Submitted</v>
      </c>
      <c r="AH30" s="14" t="s">
        <v>183</v>
      </c>
      <c r="AI30" s="14">
        <f ca="1">Summary!$D$44</f>
        <v>0</v>
      </c>
      <c r="AJ30" s="14">
        <f t="shared" si="3"/>
        <v>0</v>
      </c>
      <c r="AK30" s="14"/>
      <c r="AL30" s="14" t="e">
        <f t="shared" si="4"/>
        <v>#N/A</v>
      </c>
    </row>
    <row r="31" spans="1:38" ht="18.75" customHeight="1" thickBot="1" x14ac:dyDescent="0.3">
      <c r="A31" s="32"/>
      <c r="B31" s="33"/>
      <c r="C31" s="592"/>
      <c r="D31" s="619"/>
      <c r="E31" s="620"/>
      <c r="F31" s="621"/>
      <c r="G31" s="29"/>
      <c r="H31" s="454">
        <f>'2nd page'!Y51</f>
        <v>0</v>
      </c>
      <c r="I31" s="529"/>
      <c r="J31" s="529"/>
      <c r="K31" s="559" t="str">
        <f ca="1">IF(B9=" ","",IF(OR(TODAY()&gt;submit_date+32,Date_Processed&gt;submit_date+32),"NSF",""))</f>
        <v>NSF</v>
      </c>
      <c r="L31" s="559"/>
      <c r="M31" s="34"/>
      <c r="N31" s="330"/>
      <c r="P31" s="339"/>
      <c r="R31" s="339"/>
      <c r="S31" s="330"/>
      <c r="T31" s="339"/>
      <c r="U31" s="330"/>
      <c r="V31" s="324"/>
      <c r="W31" s="429" t="str">
        <f t="shared" si="0"/>
        <v/>
      </c>
      <c r="X31" s="14" t="str">
        <f t="shared" ca="1" si="5"/>
        <v>GORER43620-</v>
      </c>
      <c r="Y31" s="14">
        <f t="shared" ca="1" si="6"/>
        <v>0</v>
      </c>
      <c r="Z31" s="14" t="str">
        <f t="shared" si="1"/>
        <v/>
      </c>
      <c r="AA31" s="14" t="str">
        <f t="shared" si="7"/>
        <v/>
      </c>
      <c r="AB31" s="220" t="str">
        <f t="shared" si="10"/>
        <v/>
      </c>
      <c r="AC31" s="14" t="str">
        <f t="shared" si="9"/>
        <v/>
      </c>
      <c r="AD31" s="14">
        <f>I35</f>
        <v>16400</v>
      </c>
      <c r="AE31" s="14"/>
      <c r="AF31" s="14" t="str">
        <f>AG30</f>
        <v>Date Submitted</v>
      </c>
      <c r="AG31" s="14">
        <f>AF30</f>
        <v>0</v>
      </c>
      <c r="AH31" s="14" t="s">
        <v>183</v>
      </c>
      <c r="AI31" s="14">
        <f ca="1">Summary!$D$44</f>
        <v>0</v>
      </c>
      <c r="AJ31" s="14">
        <f t="shared" si="3"/>
        <v>0</v>
      </c>
      <c r="AK31" s="14"/>
      <c r="AL31" s="14" t="e">
        <f t="shared" si="4"/>
        <v>#N/A</v>
      </c>
    </row>
    <row r="32" spans="1:38" ht="18" customHeight="1" x14ac:dyDescent="0.45">
      <c r="A32" s="27" t="s">
        <v>1633</v>
      </c>
      <c r="B32" s="28"/>
      <c r="C32" s="589" t="str">
        <f>Equipment!R18&amp;Equipment!R19&amp;Equipment!R20&amp;Equipment!R31&amp;Equipment!R32&amp;Equipment!R33&amp;Equipment!R34&amp;Equipment!R35&amp;Equipment!R36&amp;Equipment!R37&amp;Equipment!R38&amp;Equipment!R39&amp;Equipment!R40&amp;Equipment!R41&amp;Equipment!R42&amp;Equipment!R43&amp;Equipment!R44&amp;Equipment!R45&amp;Equipment!R46&amp;Equipment!R47&amp;Equipment!R48&amp;Equipment!R50&amp;Equipment!R51&amp;Equipment!R52</f>
        <v/>
      </c>
      <c r="D32" s="568" t="str">
        <f>IFERROR(IF(D13=0,"Please Enter",Equipment!N55+Equipment!N56),"")</f>
        <v>Please Enter</v>
      </c>
      <c r="E32" s="569"/>
      <c r="F32" s="570"/>
      <c r="G32" s="29"/>
      <c r="H32" s="196">
        <v>50113</v>
      </c>
      <c r="I32" s="451"/>
      <c r="J32" s="452"/>
      <c r="K32" s="223"/>
      <c r="L32" s="223"/>
      <c r="M32" s="354"/>
      <c r="N32" s="330"/>
      <c r="P32" s="339"/>
      <c r="R32" s="343" t="str">
        <f ca="1">IF(OR(VLOOKUP(ProjectCode,'Vendor IDS'!$F$1:$I$757,4,)="city",VLOOKUP(ProjectCode,'Vendor IDS'!$F$1:$I$757,4,)="nmf",VLOOKUP(ProjectCode,'Vendor IDS'!$F$1:$I$757,4,)="spec"),"This City/Special Acct's deadline is "&amp;S36&amp;S35&amp;" at 12 noon MST/MDT","This Month's deadline is "&amp;Q36&amp;Q35&amp;" at 12 p.m. MST/MDT (midnight)")</f>
        <v>This Month's deadline is Monday, 07/01/2019 at 12 p.m. MST/MDT (midnight)</v>
      </c>
      <c r="S32" s="330"/>
      <c r="T32" s="339"/>
      <c r="U32" s="330"/>
      <c r="V32" s="324"/>
      <c r="W32" s="429" t="str">
        <f t="shared" si="0"/>
        <v/>
      </c>
      <c r="X32" s="14" t="str">
        <f t="shared" ca="1" si="5"/>
        <v>GORER43620-</v>
      </c>
      <c r="Y32" s="14">
        <f t="shared" ca="1" si="6"/>
        <v>0</v>
      </c>
      <c r="Z32" s="14" t="str">
        <f t="shared" si="1"/>
        <v/>
      </c>
      <c r="AA32" s="14" t="str">
        <f t="shared" si="7"/>
        <v/>
      </c>
      <c r="AB32" s="220" t="str">
        <f>W32</f>
        <v/>
      </c>
      <c r="AC32" s="14" t="str">
        <f t="shared" si="9"/>
        <v/>
      </c>
      <c r="AD32" s="14">
        <v>50114</v>
      </c>
      <c r="AE32" s="14">
        <f t="shared" si="2"/>
        <v>0</v>
      </c>
      <c r="AF32" s="14" t="str">
        <f>IF(Plan_amt&gt;0,Plan_amt,0)</f>
        <v/>
      </c>
      <c r="AG32" s="14">
        <f>IF(Summary!W46&lt;0,Summary!W46,0)</f>
        <v>0</v>
      </c>
      <c r="AH32" s="14" t="s">
        <v>183</v>
      </c>
      <c r="AI32" s="14">
        <f ca="1">Summary!$D$44</f>
        <v>0</v>
      </c>
      <c r="AJ32" s="14">
        <f t="shared" si="3"/>
        <v>0</v>
      </c>
      <c r="AK32" s="14"/>
      <c r="AL32" s="14" t="e">
        <f t="shared" si="4"/>
        <v>#N/A</v>
      </c>
    </row>
    <row r="33" spans="1:55" ht="22.5" customHeight="1" thickBot="1" x14ac:dyDescent="0.3">
      <c r="A33" s="32" t="s">
        <v>76</v>
      </c>
      <c r="B33" s="33"/>
      <c r="C33" s="592"/>
      <c r="D33" s="571"/>
      <c r="E33" s="572"/>
      <c r="F33" s="573"/>
      <c r="G33" s="29"/>
      <c r="H33" s="335">
        <f>Equipment!AS52</f>
        <v>0</v>
      </c>
      <c r="I33" s="221"/>
      <c r="J33" s="222"/>
      <c r="K33" s="558" t="s">
        <v>692</v>
      </c>
      <c r="L33" s="558"/>
      <c r="M33" s="354"/>
      <c r="N33" s="330"/>
      <c r="P33" s="339"/>
      <c r="R33" s="343" t="str">
        <f ca="1">IF(OR(VLOOKUP(ProjectCode,'Vendor IDS'!$F$1:$I$756,4,)="city",VLOOKUP(ProjectCode,'Vendor IDS'!$F$1:$I$756,4,)="nmf",VLOOKUP(ProjectCode,'Vendor IDS'!$F$1:$I$756,4,)="spec"),"Your deposit should be available "&amp;S38&amp;" pending fund availablility","Your deposit should be available between "&amp;Q38&amp;" and "&amp;Q39&amp;" pending fund availability")</f>
        <v>Your deposit should be available between Jul 08 and Jul 13 pending fund availability</v>
      </c>
      <c r="S33" s="330"/>
      <c r="T33" s="339"/>
      <c r="U33" s="330"/>
      <c r="V33" s="324"/>
      <c r="W33" s="429" t="str">
        <f t="shared" si="0"/>
        <v/>
      </c>
      <c r="X33" s="14" t="str">
        <f t="shared" ca="1" si="5"/>
        <v>GORER43620-</v>
      </c>
      <c r="Y33" s="14">
        <f t="shared" ca="1" si="6"/>
        <v>0</v>
      </c>
      <c r="Z33" s="14" t="str">
        <f t="shared" si="1"/>
        <v/>
      </c>
      <c r="AA33" s="14" t="str">
        <f t="shared" si="7"/>
        <v/>
      </c>
      <c r="AB33" s="220" t="str">
        <f t="shared" si="8"/>
        <v/>
      </c>
      <c r="AC33" s="14" t="str">
        <f t="shared" si="9"/>
        <v/>
      </c>
      <c r="AD33" s="14">
        <v>50114</v>
      </c>
      <c r="AE33" s="14">
        <v>8999</v>
      </c>
      <c r="AF33" s="14"/>
      <c r="AG33" s="14" t="str">
        <f>AF32</f>
        <v/>
      </c>
      <c r="AH33" s="14" t="s">
        <v>183</v>
      </c>
      <c r="AI33" s="14">
        <f ca="1">Summary!$D$44</f>
        <v>0</v>
      </c>
      <c r="AJ33" s="14">
        <f t="shared" si="3"/>
        <v>0</v>
      </c>
      <c r="AK33" s="14"/>
      <c r="AL33" s="14" t="e">
        <f t="shared" si="4"/>
        <v>#N/A</v>
      </c>
    </row>
    <row r="34" spans="1:55" ht="15" customHeight="1" thickBot="1" x14ac:dyDescent="0.3">
      <c r="A34" s="27" t="s">
        <v>1613</v>
      </c>
      <c r="B34" s="28"/>
      <c r="C34" s="574" t="str">
        <f>IF(D34&gt;0,C32,"")</f>
        <v/>
      </c>
      <c r="D34" s="568" t="str">
        <f>IF(D13=0,"Date Submitted",Equipment!N57)</f>
        <v>Date Submitted</v>
      </c>
      <c r="E34" s="569"/>
      <c r="F34" s="570"/>
      <c r="G34" s="29"/>
      <c r="H34" s="196">
        <v>50114</v>
      </c>
      <c r="I34" s="426" t="s">
        <v>1632</v>
      </c>
      <c r="J34" s="222"/>
      <c r="K34" s="515"/>
      <c r="L34" s="516"/>
      <c r="M34" s="517"/>
      <c r="N34" s="330"/>
      <c r="P34" s="339"/>
      <c r="R34" s="343"/>
      <c r="S34" s="330" t="s">
        <v>1101</v>
      </c>
      <c r="T34" s="339"/>
      <c r="U34" s="330"/>
      <c r="V34" s="324"/>
      <c r="W34" s="429" t="str">
        <f t="shared" si="0"/>
        <v/>
      </c>
      <c r="X34" s="14" t="str">
        <f t="shared" ca="1" si="5"/>
        <v>GORER43620-</v>
      </c>
      <c r="Y34" s="14">
        <f t="shared" ca="1" si="6"/>
        <v>0</v>
      </c>
      <c r="Z34" s="14" t="str">
        <f t="shared" si="1"/>
        <v/>
      </c>
      <c r="AA34" s="14" t="str">
        <f t="shared" si="7"/>
        <v/>
      </c>
      <c r="AB34" s="220" t="str">
        <f t="shared" si="8"/>
        <v/>
      </c>
      <c r="AC34" s="14" t="str">
        <f t="shared" si="9"/>
        <v/>
      </c>
      <c r="AD34" s="428">
        <v>21170</v>
      </c>
      <c r="AE34" s="14"/>
      <c r="AF34" s="14" t="str">
        <f>AG33</f>
        <v/>
      </c>
      <c r="AG34" s="14"/>
      <c r="AH34" s="14" t="s">
        <v>183</v>
      </c>
      <c r="AI34" s="14">
        <f ca="1">Summary!$D$44</f>
        <v>0</v>
      </c>
      <c r="AJ34" s="14">
        <f t="shared" si="3"/>
        <v>0</v>
      </c>
      <c r="AK34" s="14"/>
      <c r="AL34" s="14" t="e">
        <f t="shared" si="4"/>
        <v>#N/A</v>
      </c>
    </row>
    <row r="35" spans="1:55" ht="38.25" customHeight="1" thickBot="1" x14ac:dyDescent="0.3">
      <c r="A35" s="32" t="s">
        <v>76</v>
      </c>
      <c r="B35" s="33"/>
      <c r="C35" s="575"/>
      <c r="D35" s="571"/>
      <c r="E35" s="572"/>
      <c r="F35" s="573"/>
      <c r="G35" s="29"/>
      <c r="H35" s="197" t="s">
        <v>1635</v>
      </c>
      <c r="I35" s="427">
        <v>16400</v>
      </c>
      <c r="J35" s="34"/>
      <c r="K35" s="518"/>
      <c r="L35" s="519"/>
      <c r="M35" s="520"/>
      <c r="N35" s="330"/>
      <c r="P35" s="339" t="s">
        <v>998</v>
      </c>
      <c r="Q35" s="330" t="str">
        <f ca="1">IF(dateofexpense="past","",IF(AND(expense_date&lt;today_30,expense_date&lt;&gt;0),VLOOKUP(today_30,RegDeadline,2,),VLOOKUP(lookup_date,RegDeadline,2)))</f>
        <v>07/01/2019</v>
      </c>
      <c r="R35" s="339"/>
      <c r="S35" s="330">
        <f>IF(OR(VLOOKUP(ProjectCode,'Vendor IDS'!$F$1:$I$756,4,)="City",VLOOKUP(ProjectCode,'Vendor IDS'!$F$1:$I$756,4,)="nmf",VLOOKUP(ProjectCode,'Vendor IDS'!$F$1:$I$756,4,)="spec"),VLOOKUP(Q30,City_Deadlines,2),0)</f>
        <v>0</v>
      </c>
      <c r="T35" s="339" t="s">
        <v>1922</v>
      </c>
      <c r="U35" s="355">
        <f>ProjectCode</f>
        <v>0</v>
      </c>
      <c r="V35" s="324"/>
      <c r="W35" s="429" t="str">
        <f t="shared" si="0"/>
        <v/>
      </c>
      <c r="X35" s="14" t="str">
        <f t="shared" ca="1" si="5"/>
        <v>GORER43620-</v>
      </c>
      <c r="Y35" s="14">
        <f t="shared" ca="1" si="6"/>
        <v>0</v>
      </c>
      <c r="Z35" s="14" t="str">
        <f t="shared" si="1"/>
        <v/>
      </c>
      <c r="AA35" s="14" t="str">
        <f t="shared" si="7"/>
        <v/>
      </c>
      <c r="AB35" s="220" t="str">
        <f t="shared" si="8"/>
        <v/>
      </c>
      <c r="AC35" s="14" t="str">
        <f t="shared" si="9"/>
        <v/>
      </c>
      <c r="AD35" s="14">
        <f>I37</f>
        <v>0</v>
      </c>
      <c r="AE35" s="14"/>
      <c r="AF35" s="14">
        <f>D38</f>
        <v>0</v>
      </c>
      <c r="AG35" s="14"/>
      <c r="AH35" s="14" t="s">
        <v>183</v>
      </c>
      <c r="AI35" s="14">
        <f ca="1">Summary!$D$44</f>
        <v>0</v>
      </c>
      <c r="AJ35" s="14">
        <f t="shared" si="3"/>
        <v>0</v>
      </c>
      <c r="AK35" s="14"/>
      <c r="AL35" s="14" t="e">
        <f t="shared" si="4"/>
        <v>#N/A</v>
      </c>
    </row>
    <row r="36" spans="1:55" s="113" customFormat="1" ht="18.75" thickBot="1" x14ac:dyDescent="0.3">
      <c r="A36" s="27" t="s">
        <v>1614</v>
      </c>
      <c r="B36" s="28"/>
      <c r="C36" s="589" t="str">
        <f>IF(D36&gt;0,C32,"")</f>
        <v/>
      </c>
      <c r="D36" s="568" t="str">
        <f>IF(D13=0,"",Equipment!N58)</f>
        <v/>
      </c>
      <c r="E36" s="569"/>
      <c r="F36" s="570"/>
      <c r="G36" s="36"/>
      <c r="H36" s="196">
        <v>50114</v>
      </c>
      <c r="I36" s="426" t="s">
        <v>1632</v>
      </c>
      <c r="J36" s="34"/>
      <c r="K36" s="518"/>
      <c r="L36" s="519"/>
      <c r="M36" s="520"/>
      <c r="N36" s="331"/>
      <c r="O36" s="330"/>
      <c r="P36" s="339" t="s">
        <v>999</v>
      </c>
      <c r="Q36" s="436" t="str">
        <f ca="1">IF(Q30="past","past due",VLOOKUP(Q30,RegDeadline,3))</f>
        <v xml:space="preserve">Monday, </v>
      </c>
      <c r="R36" s="437"/>
      <c r="S36" s="355" t="str">
        <f ca="1">IF(Q30="past","past due",VLOOKUP(Q30,City_Deadlines,3))</f>
        <v xml:space="preserve">Wednesday, </v>
      </c>
      <c r="T36" s="339"/>
      <c r="U36" s="330"/>
      <c r="V36" s="324"/>
      <c r="W36" s="429" t="str">
        <f t="shared" si="0"/>
        <v/>
      </c>
      <c r="X36" s="14" t="str">
        <f t="shared" ca="1" si="5"/>
        <v>GORER43620-</v>
      </c>
      <c r="Y36" s="14">
        <f t="shared" ca="1" si="6"/>
        <v>0</v>
      </c>
      <c r="Z36" s="14" t="str">
        <f t="shared" si="1"/>
        <v/>
      </c>
      <c r="AA36" s="14" t="str">
        <f t="shared" si="7"/>
        <v/>
      </c>
      <c r="AB36" s="220" t="str">
        <f>W36</f>
        <v/>
      </c>
      <c r="AC36" s="14" t="str">
        <f t="shared" si="9"/>
        <v/>
      </c>
      <c r="AD36" s="428">
        <v>21170</v>
      </c>
      <c r="AE36" s="14">
        <f>AF35</f>
        <v>0</v>
      </c>
      <c r="AF36" s="14"/>
      <c r="AG36" s="14">
        <f>AF35</f>
        <v>0</v>
      </c>
      <c r="AH36" s="14" t="s">
        <v>183</v>
      </c>
      <c r="AI36" s="14">
        <f ca="1">Summary!$D$44</f>
        <v>0</v>
      </c>
      <c r="AJ36" s="14">
        <f t="shared" si="3"/>
        <v>0</v>
      </c>
      <c r="AK36" s="14"/>
      <c r="AL36" s="14" t="e">
        <f t="shared" si="4"/>
        <v>#N/A</v>
      </c>
      <c r="AM36" s="336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</row>
    <row r="37" spans="1:55" s="60" customFormat="1" ht="42" customHeight="1" thickBot="1" x14ac:dyDescent="0.25">
      <c r="A37" s="32" t="s">
        <v>76</v>
      </c>
      <c r="B37" s="33"/>
      <c r="C37" s="590"/>
      <c r="D37" s="571"/>
      <c r="E37" s="572"/>
      <c r="F37" s="573"/>
      <c r="G37" s="36"/>
      <c r="H37" s="197" t="s">
        <v>1634</v>
      </c>
      <c r="I37" s="427"/>
      <c r="J37" s="34"/>
      <c r="K37" s="521"/>
      <c r="L37" s="522"/>
      <c r="M37" s="523"/>
      <c r="N37" s="332"/>
      <c r="O37" s="330"/>
      <c r="P37" s="339" t="s">
        <v>1010</v>
      </c>
      <c r="Q37" s="438">
        <f ca="1">IF(S35&gt;0,VALUE(S35),VALUE(Q35))</f>
        <v>43647</v>
      </c>
      <c r="R37" s="437"/>
      <c r="S37" s="355"/>
      <c r="T37" s="339"/>
      <c r="U37" s="330" t="s">
        <v>1102</v>
      </c>
      <c r="V37" s="325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</row>
    <row r="38" spans="1:55" s="60" customFormat="1" ht="33" customHeight="1" thickBot="1" x14ac:dyDescent="0.4">
      <c r="A38" s="563" t="s">
        <v>63</v>
      </c>
      <c r="B38" s="564"/>
      <c r="C38" s="107" t="s">
        <v>1630</v>
      </c>
      <c r="D38" s="565">
        <f>Equipment!M52</f>
        <v>0</v>
      </c>
      <c r="E38" s="566"/>
      <c r="F38" s="567"/>
      <c r="G38" s="108"/>
      <c r="H38" s="109" t="s">
        <v>118</v>
      </c>
      <c r="I38" s="110"/>
      <c r="J38" s="111"/>
      <c r="K38" s="111"/>
      <c r="L38" s="112"/>
      <c r="M38" s="111"/>
      <c r="N38" s="261"/>
      <c r="O38" s="330"/>
      <c r="P38" s="339" t="s">
        <v>1028</v>
      </c>
      <c r="Q38" s="355" t="str">
        <f ca="1">VLOOKUP(Q30,Deadlines!$A$3:$F$18,5)</f>
        <v>Jul 08</v>
      </c>
      <c r="R38" s="437"/>
      <c r="S38" s="355">
        <f>IF(OR(VLOOKUP(ProjectCode,'Vendor IDS'!$F$1:$I$756,4,)="City",VLOOKUP(ProjectCode,'Vendor IDS'!$F$1:$I$756,4,)="nmf",VLOOKUP(ProjectCode,'Vendor IDS'!$F$1:$I$756,4,)="spec"),VLOOKUP(Q30,Deadlines!G3:L39,5),0)</f>
        <v>0</v>
      </c>
      <c r="T38" s="339"/>
      <c r="U38" s="330" t="s">
        <v>1103</v>
      </c>
      <c r="V38" s="32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</row>
    <row r="39" spans="1:55" s="60" customFormat="1" ht="24" customHeight="1" x14ac:dyDescent="0.25">
      <c r="A39" s="280"/>
      <c r="B39" s="576" t="str">
        <f ca="1">IF(Total_Reimb=0,B6,R33)</f>
        <v>This Month's deadline is Monday, 07/01/2019 at 12 p.m. MST/MDT (midnight)</v>
      </c>
      <c r="C39" s="576"/>
      <c r="D39" s="576"/>
      <c r="E39" s="576"/>
      <c r="F39" s="576"/>
      <c r="G39" s="576"/>
      <c r="H39" s="576"/>
      <c r="I39" s="576"/>
      <c r="L39" s="59"/>
      <c r="N39" s="261"/>
      <c r="O39" s="331"/>
      <c r="P39" s="339"/>
      <c r="Q39" s="330" t="str">
        <f ca="1">VLOOKUP(Q30,Deadlines!$A$3:$F$18,6)</f>
        <v>Jul 13</v>
      </c>
      <c r="R39" s="339"/>
      <c r="S39" s="330"/>
      <c r="T39" s="339"/>
      <c r="U39" s="330"/>
      <c r="V39" s="32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</row>
    <row r="40" spans="1:55" s="60" customFormat="1" ht="18" customHeight="1" x14ac:dyDescent="0.2">
      <c r="A40" s="305"/>
      <c r="B40" s="306"/>
      <c r="C40" s="215" t="s">
        <v>37</v>
      </c>
      <c r="D40" s="583">
        <f ca="1">IF(AND(SUM(D18:F37)&lt;50,Q23&lt;55,Q22=0),"DO NOT SUBMIT UNTIL OVER $50",SUM(D18:F37))</f>
        <v>0</v>
      </c>
      <c r="E40" s="584"/>
      <c r="F40" s="585"/>
      <c r="H40" s="562" t="str">
        <f>IF(H42&gt;0,"Exception Allowed","")</f>
        <v/>
      </c>
      <c r="I40" s="93" t="s">
        <v>101</v>
      </c>
      <c r="J40" s="83"/>
      <c r="K40" s="83"/>
      <c r="L40" s="84"/>
      <c r="M40" s="83"/>
      <c r="N40" s="261"/>
      <c r="O40" s="332"/>
      <c r="P40" s="339"/>
      <c r="Q40" s="337"/>
      <c r="R40" s="339" t="s">
        <v>1595</v>
      </c>
      <c r="S40" s="355" t="str">
        <f>IF(Date_Processed="","",Date_Processed)</f>
        <v/>
      </c>
      <c r="T40" s="339"/>
      <c r="U40" s="330"/>
      <c r="V40" s="32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</row>
    <row r="41" spans="1:55" s="60" customFormat="1" ht="18" customHeight="1" x14ac:dyDescent="0.2">
      <c r="A41" s="306"/>
      <c r="B41" s="307"/>
      <c r="C41" s="216"/>
      <c r="D41" s="586"/>
      <c r="E41" s="587"/>
      <c r="F41" s="588"/>
      <c r="H41" s="562"/>
      <c r="I41" s="93" t="s">
        <v>102</v>
      </c>
      <c r="J41" s="83"/>
      <c r="K41" s="83"/>
      <c r="L41" s="85"/>
      <c r="M41" s="83"/>
      <c r="N41" s="261"/>
      <c r="O41" s="332"/>
      <c r="P41" s="339"/>
      <c r="Q41" s="337"/>
      <c r="R41" s="339"/>
      <c r="S41" s="330"/>
      <c r="T41" s="339"/>
      <c r="U41" s="330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</row>
    <row r="42" spans="1:55" s="60" customFormat="1" ht="22.5" customHeight="1" x14ac:dyDescent="0.25">
      <c r="A42" s="308"/>
      <c r="B42" s="307"/>
      <c r="C42" s="217" t="s">
        <v>72</v>
      </c>
      <c r="D42" s="601">
        <v>0</v>
      </c>
      <c r="E42" s="602"/>
      <c r="F42" s="603"/>
      <c r="H42" s="301"/>
      <c r="I42" s="93" t="s">
        <v>105</v>
      </c>
      <c r="J42" s="83"/>
      <c r="K42" s="83"/>
      <c r="L42" s="83"/>
      <c r="M42" s="83"/>
      <c r="N42" s="261"/>
      <c r="O42" s="332"/>
      <c r="P42" s="339"/>
      <c r="Q42" s="337"/>
      <c r="R42" s="337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</row>
    <row r="43" spans="1:55" s="60" customFormat="1" ht="21.75" customHeight="1" x14ac:dyDescent="0.2">
      <c r="A43" s="309"/>
      <c r="B43" s="307"/>
      <c r="C43" s="218" t="s">
        <v>187</v>
      </c>
      <c r="D43" s="604"/>
      <c r="E43" s="605"/>
      <c r="F43" s="606"/>
      <c r="H43" s="204" t="str">
        <f>IF(P43&gt;0,"Current FY = "&amp;Total_Reimb-P43,"")</f>
        <v/>
      </c>
      <c r="I43" s="100" t="s">
        <v>712</v>
      </c>
      <c r="J43" s="250" t="s">
        <v>713</v>
      </c>
      <c r="N43" s="261"/>
      <c r="O43" s="332"/>
      <c r="P43" s="339">
        <f>IF(submit_date="",0,Transportation!Y53+Mileage!T179+Donor!Y55+'Meals-Donor'!U44+Office!Y54+'Out-of-town'!Y58+'Professional Growth'!Y55+'Min Ops'!Y60+'Meals-Students'!U44+Equipment!AS52+'2nd page'!Y51)</f>
        <v>0</v>
      </c>
      <c r="Q43" s="337"/>
      <c r="R43" s="337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</row>
    <row r="44" spans="1:55" s="60" customFormat="1" ht="25.15" customHeight="1" x14ac:dyDescent="0.2">
      <c r="A44" s="309"/>
      <c r="B44" s="309"/>
      <c r="C44" s="282" t="s">
        <v>77</v>
      </c>
      <c r="D44" s="577">
        <f ca="1">IF(D40="DO NOT SUBMIT UNTIL OVER $50","",IF(M37&gt;0,"Dissallow &gt; 1 yr old",SUM(D40-D42)))</f>
        <v>0</v>
      </c>
      <c r="E44" s="578"/>
      <c r="F44" s="579"/>
      <c r="G44" s="283"/>
      <c r="H44" s="304" t="str">
        <f>IF(P43&gt;0,"Prior FY = "&amp;P43,"")</f>
        <v/>
      </c>
      <c r="I44" s="100" t="s">
        <v>122</v>
      </c>
      <c r="N44" s="261"/>
      <c r="O44" s="332"/>
      <c r="P44" s="339"/>
      <c r="Q44" s="337"/>
      <c r="R44" s="337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</row>
    <row r="45" spans="1:55" ht="15" x14ac:dyDescent="0.25">
      <c r="A45" s="306"/>
      <c r="B45" s="309"/>
      <c r="C45" s="284"/>
      <c r="D45" s="580"/>
      <c r="E45" s="581"/>
      <c r="F45" s="582"/>
      <c r="G45" s="283"/>
      <c r="H45" s="60"/>
      <c r="I45" s="268" t="s">
        <v>792</v>
      </c>
      <c r="J45" s="60"/>
      <c r="K45" s="60"/>
      <c r="L45" s="334">
        <v>43550</v>
      </c>
      <c r="M45" s="60"/>
      <c r="O45" s="332"/>
      <c r="P45" s="339"/>
    </row>
    <row r="46" spans="1:55" ht="15.75" x14ac:dyDescent="0.25">
      <c r="A46" s="119">
        <f>IF(expensedate=0,1,2)</f>
        <v>1</v>
      </c>
      <c r="B46" s="60"/>
      <c r="C46" s="327"/>
      <c r="D46" s="327"/>
      <c r="E46" s="327"/>
      <c r="F46" s="327"/>
      <c r="G46" s="327"/>
      <c r="H46" s="86"/>
      <c r="I46" s="267" t="s">
        <v>793</v>
      </c>
      <c r="J46" s="86"/>
      <c r="K46" s="86"/>
      <c r="L46" s="278">
        <v>43550</v>
      </c>
      <c r="M46" s="86"/>
      <c r="O46" s="332"/>
      <c r="P46" s="332"/>
    </row>
    <row r="47" spans="1:55" x14ac:dyDescent="0.2">
      <c r="O47" s="332"/>
      <c r="P47" s="332"/>
    </row>
    <row r="48" spans="1:55" x14ac:dyDescent="0.2">
      <c r="P48" s="332"/>
    </row>
  </sheetData>
  <sheetProtection algorithmName="SHA-512" hashValue="FAHl+P0KZNFQcIBgQtcIKwhhxiLEs1e/HtxDbmqB+mj7OM3plnMyOkoLmtGRL6JF2U5ZJyImDWAM+C89Z7nZHA==" saltValue="r+DQ7+3+wUPR9Gk+CQdDFw==" spinCount="100000" sheet="1" objects="1" scenarios="1"/>
  <mergeCells count="60">
    <mergeCell ref="C1:F1"/>
    <mergeCell ref="A1:B4"/>
    <mergeCell ref="D42:F43"/>
    <mergeCell ref="D8:E8"/>
    <mergeCell ref="C20:C21"/>
    <mergeCell ref="D18:F19"/>
    <mergeCell ref="C18:C19"/>
    <mergeCell ref="D20:F21"/>
    <mergeCell ref="D30:F31"/>
    <mergeCell ref="C28:C29"/>
    <mergeCell ref="D26:F27"/>
    <mergeCell ref="C30:C31"/>
    <mergeCell ref="C22:C23"/>
    <mergeCell ref="A16:B17"/>
    <mergeCell ref="D15:F15"/>
    <mergeCell ref="A15:B15"/>
    <mergeCell ref="D44:F45"/>
    <mergeCell ref="D40:F41"/>
    <mergeCell ref="C36:C37"/>
    <mergeCell ref="C2:F4"/>
    <mergeCell ref="D28:F29"/>
    <mergeCell ref="D32:F33"/>
    <mergeCell ref="C24:C25"/>
    <mergeCell ref="C32:C33"/>
    <mergeCell ref="D22:F23"/>
    <mergeCell ref="D11:F11"/>
    <mergeCell ref="D13:E13"/>
    <mergeCell ref="D10:E10"/>
    <mergeCell ref="B7:E7"/>
    <mergeCell ref="B6:E6"/>
    <mergeCell ref="D24:F25"/>
    <mergeCell ref="C26:C27"/>
    <mergeCell ref="H40:H41"/>
    <mergeCell ref="A38:B38"/>
    <mergeCell ref="D38:F38"/>
    <mergeCell ref="D36:F37"/>
    <mergeCell ref="D34:F35"/>
    <mergeCell ref="C34:C35"/>
    <mergeCell ref="B39:I39"/>
    <mergeCell ref="T26:U26"/>
    <mergeCell ref="K33:L33"/>
    <mergeCell ref="K31:L31"/>
    <mergeCell ref="K25:L25"/>
    <mergeCell ref="K29:L30"/>
    <mergeCell ref="K28:L28"/>
    <mergeCell ref="C16:C17"/>
    <mergeCell ref="D16:F17"/>
    <mergeCell ref="T25:U25"/>
    <mergeCell ref="K20:L20"/>
    <mergeCell ref="K22:L22"/>
    <mergeCell ref="H16:M16"/>
    <mergeCell ref="K34:M37"/>
    <mergeCell ref="I4:M5"/>
    <mergeCell ref="H4:H5"/>
    <mergeCell ref="H6:M6"/>
    <mergeCell ref="I18:J24"/>
    <mergeCell ref="I25:J31"/>
    <mergeCell ref="I7:M8"/>
    <mergeCell ref="I11:M12"/>
    <mergeCell ref="I9:M10"/>
  </mergeCells>
  <phoneticPr fontId="0" type="noConversion"/>
  <conditionalFormatting sqref="H8">
    <cfRule type="expression" dxfId="328" priority="63">
      <formula>$H$8&gt;0</formula>
    </cfRule>
  </conditionalFormatting>
  <conditionalFormatting sqref="C43">
    <cfRule type="expression" dxfId="327" priority="62">
      <formula>$D$42&gt;0</formula>
    </cfRule>
  </conditionalFormatting>
  <conditionalFormatting sqref="C2:C5 E2:F5 D2:D4">
    <cfRule type="expression" dxfId="326" priority="61">
      <formula>$M$1&gt;=1</formula>
    </cfRule>
  </conditionalFormatting>
  <conditionalFormatting sqref="M1">
    <cfRule type="expression" dxfId="325" priority="60">
      <formula>$M$1&gt;=1</formula>
    </cfRule>
  </conditionalFormatting>
  <conditionalFormatting sqref="M2">
    <cfRule type="expression" dxfId="324" priority="59">
      <formula>$M$2&gt;=1</formula>
    </cfRule>
  </conditionalFormatting>
  <conditionalFormatting sqref="G8">
    <cfRule type="expression" priority="66" stopIfTrue="1">
      <formula>$E$9="&gt;5799"&amp;"&lt;5901"</formula>
    </cfRule>
  </conditionalFormatting>
  <conditionalFormatting sqref="K29">
    <cfRule type="expression" dxfId="323" priority="73">
      <formula>$K$28="Exception To Policy"</formula>
    </cfRule>
  </conditionalFormatting>
  <conditionalFormatting sqref="K31">
    <cfRule type="expression" dxfId="322" priority="57">
      <formula>$K$31&gt;"nsf"</formula>
    </cfRule>
  </conditionalFormatting>
  <conditionalFormatting sqref="D44:F45">
    <cfRule type="expression" dxfId="321" priority="55">
      <formula>$D$44="Dissallow &gt; 1 yr old"</formula>
    </cfRule>
  </conditionalFormatting>
  <conditionalFormatting sqref="N6">
    <cfRule type="expression" dxfId="320" priority="51">
      <formula>$F$7&gt;41670</formula>
    </cfRule>
  </conditionalFormatting>
  <conditionalFormatting sqref="B6 C1 G1:G6 I1:M3 H1:H4 I7:J17 F7:H14 L7:L28 K7:K29 A46 A7:A16 F42:H46 F41:G41 K31:L33 K34 C46 D9:E14 D40:E46 B8:C14 F40:H40 A5:B5 B40:C45 B39 I40:J46 J39 C15:D16 G15:H17 I33:J33 M7:M33 A34:A44 A18:H33 B34:J38 K38:M46 I4 I18">
    <cfRule type="expression" dxfId="319" priority="50">
      <formula>$F$7&gt;$F$8</formula>
    </cfRule>
  </conditionalFormatting>
  <conditionalFormatting sqref="B7:E7">
    <cfRule type="expression" dxfId="318" priority="44">
      <formula>$B$7="review before uploading on Weebly"</formula>
    </cfRule>
    <cfRule type="expression" dxfId="317" priority="45">
      <formula>$B$7="you have missed the deadline"</formula>
    </cfRule>
  </conditionalFormatting>
  <conditionalFormatting sqref="D40:F41">
    <cfRule type="expression" dxfId="316" priority="43">
      <formula>$D$40="DO NOT SUBMIT UNTIL OVER $59"</formula>
    </cfRule>
  </conditionalFormatting>
  <conditionalFormatting sqref="A45">
    <cfRule type="expression" dxfId="315" priority="42">
      <formula>$F$7&gt;$F$8</formula>
    </cfRule>
  </conditionalFormatting>
  <conditionalFormatting sqref="H19">
    <cfRule type="expression" dxfId="314" priority="36">
      <formula>$H$19</formula>
    </cfRule>
  </conditionalFormatting>
  <conditionalFormatting sqref="H21">
    <cfRule type="expression" dxfId="313" priority="35">
      <formula>$H$21&gt;0</formula>
    </cfRule>
  </conditionalFormatting>
  <conditionalFormatting sqref="H23">
    <cfRule type="expression" dxfId="312" priority="34">
      <formula>$H$23&gt;0</formula>
    </cfRule>
  </conditionalFormatting>
  <conditionalFormatting sqref="H25">
    <cfRule type="expression" dxfId="311" priority="33">
      <formula>$H$25&gt;0</formula>
    </cfRule>
  </conditionalFormatting>
  <conditionalFormatting sqref="H27">
    <cfRule type="expression" dxfId="310" priority="32">
      <formula>$H$27&gt;0</formula>
    </cfRule>
  </conditionalFormatting>
  <conditionalFormatting sqref="H29">
    <cfRule type="expression" dxfId="309" priority="31">
      <formula>$H$29&gt;0</formula>
    </cfRule>
  </conditionalFormatting>
  <conditionalFormatting sqref="H31">
    <cfRule type="expression" dxfId="308" priority="30">
      <formula>$H$31&gt;0</formula>
    </cfRule>
  </conditionalFormatting>
  <conditionalFormatting sqref="H33">
    <cfRule type="expression" dxfId="307" priority="29">
      <formula>$H$33&gt;0</formula>
    </cfRule>
  </conditionalFormatting>
  <conditionalFormatting sqref="W20 X21:AL36">
    <cfRule type="expression" dxfId="306" priority="28">
      <formula>$A$2=""</formula>
    </cfRule>
  </conditionalFormatting>
  <conditionalFormatting sqref="X20:AL20">
    <cfRule type="expression" dxfId="305" priority="27">
      <formula>$A$2=""</formula>
    </cfRule>
  </conditionalFormatting>
  <conditionalFormatting sqref="Q36">
    <cfRule type="expression" dxfId="304" priority="12">
      <formula>$F$7&gt;$F$8</formula>
    </cfRule>
  </conditionalFormatting>
  <conditionalFormatting sqref="A1:B4">
    <cfRule type="expression" dxfId="303" priority="11">
      <formula>$A$1="isintl"</formula>
    </cfRule>
  </conditionalFormatting>
  <conditionalFormatting sqref="C1:F1">
    <cfRule type="expression" dxfId="302" priority="10">
      <formula>$A$1="isintl"</formula>
    </cfRule>
  </conditionalFormatting>
  <conditionalFormatting sqref="B9 E9 D11:F11 D13:E13 I4">
    <cfRule type="expression" dxfId="301" priority="9">
      <formula>$A$1="isintl"</formula>
    </cfRule>
  </conditionalFormatting>
  <conditionalFormatting sqref="A16:B17">
    <cfRule type="expression" dxfId="300" priority="8">
      <formula>$A$16&lt;&gt;""</formula>
    </cfRule>
  </conditionalFormatting>
  <conditionalFormatting sqref="D18:F37">
    <cfRule type="expression" dxfId="299" priority="389">
      <formula>$D$40="do not submit until over $50"</formula>
    </cfRule>
  </conditionalFormatting>
  <conditionalFormatting sqref="I34:I35">
    <cfRule type="expression" dxfId="298" priority="4">
      <formula>$D$38&gt;0</formula>
    </cfRule>
  </conditionalFormatting>
  <conditionalFormatting sqref="I36:I37">
    <cfRule type="expression" dxfId="297" priority="3">
      <formula>$D$38&gt;0</formula>
    </cfRule>
  </conditionalFormatting>
  <conditionalFormatting sqref="I18">
    <cfRule type="expression" dxfId="296" priority="395">
      <formula>$I$18="don't forget to attach your receipts"</formula>
    </cfRule>
  </conditionalFormatting>
  <conditionalFormatting sqref="I25">
    <cfRule type="expression" dxfId="295" priority="1">
      <formula>$F$7&gt;$F$8</formula>
    </cfRule>
  </conditionalFormatting>
  <conditionalFormatting sqref="I25">
    <cfRule type="expression" dxfId="294" priority="2">
      <formula>$I$18="don't forget to attach your receipts"</formula>
    </cfRule>
  </conditionalFormatting>
  <dataValidations xWindow="85" yWindow="423" count="4">
    <dataValidation type="whole" operator="greaterThanOrEqual" allowBlank="1" showErrorMessage="1" errorTitle="Project" error="You must enter a 4 digit project number. (5### fld staff, 3### regional, 2### NMF)" sqref="E9" xr:uid="{00000000-0002-0000-0100-000000000000}">
      <formula1>1100</formula1>
    </dataValidation>
    <dataValidation type="date" operator="greaterThan" allowBlank="1" showInputMessage="1" showErrorMessage="1" promptTitle="Date Format" prompt="Please use proper date format mm/dd/yy" sqref="D13" xr:uid="{00000000-0002-0000-0100-000001000000}">
      <formula1>40912</formula1>
    </dataValidation>
    <dataValidation type="list" allowBlank="1" showInputMessage="1" showErrorMessage="1" sqref="A10" xr:uid="{00000000-0002-0000-0100-000002000000}">
      <formula1>personalcode</formula1>
    </dataValidation>
    <dataValidation showInputMessage="1" showErrorMessage="1" prompt="Please do not use special characters (&amp;,#,etc) or initials with a period." sqref="B9" xr:uid="{00000000-0002-0000-0100-000003000000}"/>
  </dataValidations>
  <hyperlinks>
    <hyperlink ref="J43" r:id="rId1" xr:uid="{00000000-0004-0000-0100-000000000000}"/>
    <hyperlink ref="C5" r:id="rId2" xr:uid="{15A1F103-2CA1-4230-BBE0-1C94CB5DE781}"/>
  </hyperlinks>
  <pageMargins left="0.75" right="0.75" top="1" bottom="1" header="0.5" footer="0.5"/>
  <pageSetup scale="4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P215"/>
  <sheetViews>
    <sheetView view="pageBreakPreview" zoomScale="60" zoomScaleNormal="100" workbookViewId="0"/>
  </sheetViews>
  <sheetFormatPr defaultRowHeight="12.75" x14ac:dyDescent="0.2"/>
  <sheetData>
    <row r="1" spans="1:1" ht="13.5" x14ac:dyDescent="0.25">
      <c r="A1" s="135"/>
    </row>
    <row r="2" spans="1:1" x14ac:dyDescent="0.2">
      <c r="A2" s="136"/>
    </row>
    <row r="3" spans="1:1" x14ac:dyDescent="0.2">
      <c r="A3" s="136"/>
    </row>
    <row r="4" spans="1:1" x14ac:dyDescent="0.2">
      <c r="A4" s="136"/>
    </row>
    <row r="5" spans="1:1" x14ac:dyDescent="0.2">
      <c r="A5" s="136"/>
    </row>
    <row r="6" spans="1:1" ht="15" x14ac:dyDescent="0.25">
      <c r="A6" s="134"/>
    </row>
    <row r="7" spans="1:1" x14ac:dyDescent="0.2">
      <c r="A7" s="131"/>
    </row>
    <row r="8" spans="1:1" x14ac:dyDescent="0.2">
      <c r="A8" s="131"/>
    </row>
    <row r="9" spans="1:1" ht="15.75" x14ac:dyDescent="0.25">
      <c r="A9" s="137"/>
    </row>
    <row r="10" spans="1:1" x14ac:dyDescent="0.2">
      <c r="A10" s="131"/>
    </row>
    <row r="11" spans="1:1" ht="15.75" x14ac:dyDescent="0.25">
      <c r="A11" s="137"/>
    </row>
    <row r="12" spans="1:1" x14ac:dyDescent="0.2">
      <c r="A12" s="131"/>
    </row>
    <row r="13" spans="1:1" x14ac:dyDescent="0.2">
      <c r="A13" s="131"/>
    </row>
    <row r="14" spans="1:1" x14ac:dyDescent="0.2">
      <c r="A14" s="131"/>
    </row>
    <row r="15" spans="1:1" x14ac:dyDescent="0.2">
      <c r="A15" s="131"/>
    </row>
    <row r="16" spans="1:1" x14ac:dyDescent="0.2">
      <c r="A16" s="131"/>
    </row>
    <row r="17" spans="1:1" ht="15.75" x14ac:dyDescent="0.25">
      <c r="A17" s="137"/>
    </row>
    <row r="18" spans="1:1" ht="15.75" x14ac:dyDescent="0.25">
      <c r="A18" s="137"/>
    </row>
    <row r="19" spans="1:1" ht="15.75" x14ac:dyDescent="0.25">
      <c r="A19" s="137"/>
    </row>
    <row r="215" spans="16:16" x14ac:dyDescent="0.2">
      <c r="P215" t="s">
        <v>1576</v>
      </c>
    </row>
  </sheetData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Q136"/>
  <sheetViews>
    <sheetView workbookViewId="0">
      <selection activeCell="D19" sqref="D19"/>
    </sheetView>
  </sheetViews>
  <sheetFormatPr defaultRowHeight="12" customHeight="1" x14ac:dyDescent="0.2"/>
  <cols>
    <col min="2" max="2" width="10.140625" bestFit="1" customWidth="1"/>
    <col min="4" max="4" width="10.140625" bestFit="1" customWidth="1"/>
    <col min="5" max="5" width="10.140625" customWidth="1"/>
    <col min="6" max="6" width="7" bestFit="1" customWidth="1"/>
    <col min="7" max="7" width="10.140625" customWidth="1"/>
    <col min="8" max="8" width="16.85546875" style="130" customWidth="1"/>
    <col min="9" max="9" width="9.42578125" bestFit="1" customWidth="1"/>
  </cols>
  <sheetData>
    <row r="1" spans="1:14" ht="12" customHeight="1" x14ac:dyDescent="0.2">
      <c r="A1" s="626" t="s">
        <v>851</v>
      </c>
      <c r="B1" s="626"/>
      <c r="C1" s="626"/>
      <c r="D1" s="626"/>
      <c r="E1" s="626"/>
      <c r="G1" s="627" t="s">
        <v>852</v>
      </c>
      <c r="H1" s="628"/>
      <c r="I1" s="628"/>
      <c r="J1" s="628"/>
    </row>
    <row r="2" spans="1:14" ht="24" customHeight="1" x14ac:dyDescent="0.2">
      <c r="A2" s="153" t="s">
        <v>280</v>
      </c>
      <c r="C2" s="131" t="s">
        <v>282</v>
      </c>
      <c r="D2" s="131" t="s">
        <v>281</v>
      </c>
      <c r="E2" s="131"/>
      <c r="F2" s="131"/>
      <c r="G2" s="318"/>
      <c r="H2" s="319" t="s">
        <v>853</v>
      </c>
      <c r="I2" s="14"/>
      <c r="J2" s="14" t="s">
        <v>281</v>
      </c>
    </row>
    <row r="3" spans="1:14" ht="12" customHeight="1" x14ac:dyDescent="0.2">
      <c r="A3" s="310">
        <v>43282</v>
      </c>
      <c r="B3" s="118" t="str">
        <f>TEXT(D3,"mm/dd/yyyy")</f>
        <v>08/01/2018</v>
      </c>
      <c r="C3" s="118" t="str">
        <f>TEXT(D3,"dddd")&amp;", "</f>
        <v xml:space="preserve">Wednesday, </v>
      </c>
      <c r="D3" s="117">
        <v>43313</v>
      </c>
      <c r="E3" t="str">
        <f>TEXT(D3+7,"MMM DD")</f>
        <v>Aug 08</v>
      </c>
      <c r="F3" s="117" t="str">
        <f t="shared" ref="F3:F12" si="0">TEXT(D3+12,"MMM DD")</f>
        <v>Aug 13</v>
      </c>
      <c r="G3" s="320">
        <v>43294</v>
      </c>
      <c r="H3" s="321" t="str">
        <f t="shared" ref="H3:H21" si="1">TEXT(J3,"mm/dd/yyyy")</f>
        <v>07/25/2018</v>
      </c>
      <c r="I3" s="322" t="str">
        <f t="shared" ref="I3:I21" si="2">TEXT(J3,"dddd")&amp;", "</f>
        <v xml:space="preserve">Wednesday, </v>
      </c>
      <c r="J3" s="323">
        <v>43306</v>
      </c>
      <c r="K3" s="182" t="str">
        <f t="shared" ref="K3:K21" si="3">TEXT(J3+2,"MMM DD")</f>
        <v>Jul 27</v>
      </c>
    </row>
    <row r="4" spans="1:14" ht="12" customHeight="1" x14ac:dyDescent="0.2">
      <c r="A4" s="310">
        <v>43313</v>
      </c>
      <c r="B4" s="118" t="str">
        <f t="shared" ref="B4:B7" si="4">TEXT(D4,"mm/dd/yyyy")</f>
        <v>09/01/2018</v>
      </c>
      <c r="C4" s="118" t="str">
        <f>TEXT(D4,"dddd")&amp;", "</f>
        <v xml:space="preserve">Saturday, </v>
      </c>
      <c r="D4" s="117">
        <v>43344</v>
      </c>
      <c r="E4" t="str">
        <f t="shared" ref="E4:E12" si="5">TEXT(D4+7,"MMM DD")</f>
        <v>Sep 08</v>
      </c>
      <c r="F4" s="117" t="str">
        <f t="shared" si="0"/>
        <v>Sep 13</v>
      </c>
      <c r="G4" s="320">
        <f t="shared" ref="G4:G21" si="6">J3+2</f>
        <v>43308</v>
      </c>
      <c r="H4" s="321" t="str">
        <f t="shared" si="1"/>
        <v>08/08/2018</v>
      </c>
      <c r="I4" s="322" t="str">
        <f t="shared" si="2"/>
        <v xml:space="preserve">Wednesday, </v>
      </c>
      <c r="J4" s="323">
        <v>43320</v>
      </c>
      <c r="K4" s="182" t="str">
        <f>TEXT(J4+2,"MMM DD")</f>
        <v>Aug 10</v>
      </c>
    </row>
    <row r="5" spans="1:14" ht="12" customHeight="1" x14ac:dyDescent="0.2">
      <c r="A5" s="310">
        <v>43344</v>
      </c>
      <c r="B5" s="118" t="str">
        <f t="shared" si="4"/>
        <v>10/01/2018</v>
      </c>
      <c r="C5" s="118" t="str">
        <f t="shared" ref="C5:C12" si="7">TEXT(D5,"dddd")&amp;", "</f>
        <v xml:space="preserve">Monday, </v>
      </c>
      <c r="D5" s="117">
        <v>43374</v>
      </c>
      <c r="E5" t="str">
        <f t="shared" si="5"/>
        <v>Oct 08</v>
      </c>
      <c r="F5" s="117" t="str">
        <f t="shared" si="0"/>
        <v>Oct 13</v>
      </c>
      <c r="G5" s="320">
        <f>J4+2</f>
        <v>43322</v>
      </c>
      <c r="H5" s="321" t="str">
        <f t="shared" si="1"/>
        <v>08/22/2018</v>
      </c>
      <c r="I5" s="322" t="str">
        <f t="shared" si="2"/>
        <v xml:space="preserve">Wednesday, </v>
      </c>
      <c r="J5" s="323">
        <v>43334</v>
      </c>
      <c r="K5" s="182" t="str">
        <f t="shared" si="3"/>
        <v>Aug 24</v>
      </c>
    </row>
    <row r="6" spans="1:14" ht="12" customHeight="1" x14ac:dyDescent="0.2">
      <c r="A6" s="310">
        <v>43374</v>
      </c>
      <c r="B6" s="118" t="str">
        <f t="shared" si="4"/>
        <v>11/01/2018</v>
      </c>
      <c r="C6" s="118" t="str">
        <f t="shared" si="7"/>
        <v xml:space="preserve">Thursday, </v>
      </c>
      <c r="D6" s="117">
        <v>43405</v>
      </c>
      <c r="E6" t="str">
        <f t="shared" si="5"/>
        <v>Nov 08</v>
      </c>
      <c r="F6" s="117" t="str">
        <f t="shared" si="0"/>
        <v>Nov 13</v>
      </c>
      <c r="G6" s="320">
        <f t="shared" si="6"/>
        <v>43336</v>
      </c>
      <c r="H6" s="321" t="str">
        <f t="shared" si="1"/>
        <v>08/29/2018</v>
      </c>
      <c r="I6" s="322" t="str">
        <f t="shared" si="2"/>
        <v xml:space="preserve">Wednesday, </v>
      </c>
      <c r="J6" s="323">
        <v>43341</v>
      </c>
      <c r="K6" s="182" t="str">
        <f t="shared" si="3"/>
        <v>Aug 31</v>
      </c>
      <c r="N6" s="333"/>
    </row>
    <row r="7" spans="1:14" ht="12" customHeight="1" x14ac:dyDescent="0.2">
      <c r="A7" s="310">
        <v>43405</v>
      </c>
      <c r="B7" s="118" t="str">
        <f t="shared" si="4"/>
        <v>12/01/2018</v>
      </c>
      <c r="C7" s="118" t="str">
        <f t="shared" si="7"/>
        <v xml:space="preserve">Saturday, </v>
      </c>
      <c r="D7" s="117">
        <v>43435</v>
      </c>
      <c r="E7" t="str">
        <f>TEXT(D7+7,"MMM DD")</f>
        <v>Dec 08</v>
      </c>
      <c r="F7" s="117" t="str">
        <f t="shared" si="0"/>
        <v>Dec 13</v>
      </c>
      <c r="G7" s="320">
        <f t="shared" si="6"/>
        <v>43343</v>
      </c>
      <c r="H7" s="321" t="str">
        <f t="shared" si="1"/>
        <v>09/12/2018</v>
      </c>
      <c r="I7" s="322" t="str">
        <f t="shared" si="2"/>
        <v xml:space="preserve">Wednesday, </v>
      </c>
      <c r="J7" s="323">
        <v>43355</v>
      </c>
      <c r="K7" s="182" t="str">
        <f t="shared" si="3"/>
        <v>Sep 14</v>
      </c>
    </row>
    <row r="8" spans="1:14" ht="12" customHeight="1" x14ac:dyDescent="0.2">
      <c r="A8" s="310">
        <v>43435</v>
      </c>
      <c r="B8" s="118" t="str">
        <f>TEXT(D8,"mm/dd/yyyy")</f>
        <v>01/01/2019</v>
      </c>
      <c r="C8" s="118" t="str">
        <f t="shared" si="7"/>
        <v xml:space="preserve">Tuesday, </v>
      </c>
      <c r="D8" s="117">
        <v>43466</v>
      </c>
      <c r="E8" t="str">
        <f t="shared" si="5"/>
        <v>Jan 08</v>
      </c>
      <c r="F8" s="117" t="str">
        <f t="shared" si="0"/>
        <v>Jan 13</v>
      </c>
      <c r="G8" s="320">
        <f t="shared" si="6"/>
        <v>43357</v>
      </c>
      <c r="H8" s="321" t="str">
        <f t="shared" si="1"/>
        <v>09/26/2018</v>
      </c>
      <c r="I8" s="322" t="str">
        <f t="shared" si="2"/>
        <v xml:space="preserve">Wednesday, </v>
      </c>
      <c r="J8" s="323">
        <v>43369</v>
      </c>
      <c r="K8" s="182" t="str">
        <f t="shared" si="3"/>
        <v>Sep 28</v>
      </c>
    </row>
    <row r="9" spans="1:14" ht="12" customHeight="1" x14ac:dyDescent="0.2">
      <c r="A9" s="310">
        <v>43466</v>
      </c>
      <c r="B9" s="118" t="str">
        <f t="shared" ref="B9:B12" si="8">TEXT(D9,"mm/dd/yyyy")</f>
        <v>02/01/2019</v>
      </c>
      <c r="C9" s="118" t="str">
        <f t="shared" si="7"/>
        <v xml:space="preserve">Friday, </v>
      </c>
      <c r="D9" s="117">
        <v>43497</v>
      </c>
      <c r="E9" t="str">
        <f t="shared" si="5"/>
        <v>Feb 08</v>
      </c>
      <c r="F9" s="117" t="str">
        <f t="shared" si="0"/>
        <v>Feb 13</v>
      </c>
      <c r="G9" s="320">
        <f t="shared" si="6"/>
        <v>43371</v>
      </c>
      <c r="H9" s="321" t="str">
        <f t="shared" si="1"/>
        <v>10/10/2018</v>
      </c>
      <c r="I9" s="322" t="str">
        <f t="shared" si="2"/>
        <v xml:space="preserve">Wednesday, </v>
      </c>
      <c r="J9" s="323">
        <v>43383</v>
      </c>
      <c r="K9" s="182" t="str">
        <f t="shared" si="3"/>
        <v>Oct 12</v>
      </c>
    </row>
    <row r="10" spans="1:14" ht="12" customHeight="1" x14ac:dyDescent="0.2">
      <c r="A10" s="310">
        <v>43497</v>
      </c>
      <c r="B10" s="118" t="str">
        <f t="shared" si="8"/>
        <v>03/01/2019</v>
      </c>
      <c r="C10" s="118" t="str">
        <f t="shared" si="7"/>
        <v xml:space="preserve">Friday, </v>
      </c>
      <c r="D10" s="117">
        <v>43525</v>
      </c>
      <c r="E10" t="str">
        <f t="shared" si="5"/>
        <v>Mar 08</v>
      </c>
      <c r="F10" s="117" t="str">
        <f t="shared" si="0"/>
        <v>Mar 13</v>
      </c>
      <c r="G10" s="320">
        <f t="shared" si="6"/>
        <v>43385</v>
      </c>
      <c r="H10" s="321" t="str">
        <f t="shared" si="1"/>
        <v>10/24/2018</v>
      </c>
      <c r="I10" s="322" t="str">
        <f t="shared" si="2"/>
        <v xml:space="preserve">Wednesday, </v>
      </c>
      <c r="J10" s="323">
        <v>43397</v>
      </c>
      <c r="K10" s="182" t="str">
        <f t="shared" si="3"/>
        <v>Oct 26</v>
      </c>
    </row>
    <row r="11" spans="1:14" ht="12" customHeight="1" x14ac:dyDescent="0.2">
      <c r="A11" s="310">
        <v>43525</v>
      </c>
      <c r="B11" s="118" t="str">
        <f t="shared" si="8"/>
        <v>04/01/2019</v>
      </c>
      <c r="C11" s="118" t="str">
        <f t="shared" si="7"/>
        <v xml:space="preserve">Monday, </v>
      </c>
      <c r="D11" s="117">
        <v>43556</v>
      </c>
      <c r="E11" t="str">
        <f t="shared" si="5"/>
        <v>Apr 08</v>
      </c>
      <c r="F11" s="117" t="str">
        <f t="shared" si="0"/>
        <v>Apr 13</v>
      </c>
      <c r="G11" s="320">
        <f t="shared" si="6"/>
        <v>43399</v>
      </c>
      <c r="H11" s="321" t="str">
        <f t="shared" si="1"/>
        <v>10/31/2018</v>
      </c>
      <c r="I11" s="322" t="str">
        <f t="shared" si="2"/>
        <v xml:space="preserve">Wednesday, </v>
      </c>
      <c r="J11" s="323">
        <v>43404</v>
      </c>
      <c r="K11" s="182" t="str">
        <f t="shared" si="3"/>
        <v>Nov 02</v>
      </c>
    </row>
    <row r="12" spans="1:14" ht="12" customHeight="1" x14ac:dyDescent="0.2">
      <c r="A12" s="310">
        <v>43556</v>
      </c>
      <c r="B12" s="118" t="str">
        <f t="shared" si="8"/>
        <v>05/01/2019</v>
      </c>
      <c r="C12" s="118" t="str">
        <f t="shared" si="7"/>
        <v xml:space="preserve">Wednesday, </v>
      </c>
      <c r="D12" s="117">
        <v>43586</v>
      </c>
      <c r="E12" t="str">
        <f t="shared" si="5"/>
        <v>May 08</v>
      </c>
      <c r="F12" s="117" t="str">
        <f t="shared" si="0"/>
        <v>May 13</v>
      </c>
      <c r="G12" s="320">
        <f t="shared" si="6"/>
        <v>43406</v>
      </c>
      <c r="H12" s="321" t="str">
        <f t="shared" si="1"/>
        <v>11/14/2018</v>
      </c>
      <c r="I12" s="322" t="str">
        <f t="shared" si="2"/>
        <v xml:space="preserve">Wednesday, </v>
      </c>
      <c r="J12" s="323">
        <v>43418</v>
      </c>
      <c r="K12" s="182" t="str">
        <f t="shared" si="3"/>
        <v>Nov 16</v>
      </c>
    </row>
    <row r="13" spans="1:14" ht="12" customHeight="1" x14ac:dyDescent="0.2">
      <c r="A13" s="310">
        <v>43586</v>
      </c>
      <c r="B13" s="118" t="str">
        <f t="shared" ref="B13:B18" si="9">TEXT(D13,"mm/dd/yyyy")</f>
        <v>06/01/2019</v>
      </c>
      <c r="C13" s="118" t="str">
        <f t="shared" ref="C13:C17" si="10">TEXT(D13,"dddd")&amp;", "</f>
        <v xml:space="preserve">Saturday, </v>
      </c>
      <c r="D13" s="117">
        <v>43617</v>
      </c>
      <c r="E13" t="str">
        <f t="shared" ref="E13:E18" si="11">TEXT(D13+7,"MMM DD")</f>
        <v>Jun 08</v>
      </c>
      <c r="F13" s="117" t="str">
        <f t="shared" ref="F13:F18" si="12">TEXT(D13+12,"MMM DD")</f>
        <v>Jun 13</v>
      </c>
      <c r="G13" s="320">
        <f t="shared" si="6"/>
        <v>43420</v>
      </c>
      <c r="H13" s="321" t="str">
        <f t="shared" si="1"/>
        <v>11/21/2018</v>
      </c>
      <c r="I13" s="322" t="str">
        <f t="shared" si="2"/>
        <v xml:space="preserve">Wednesday, </v>
      </c>
      <c r="J13" s="323">
        <v>43425</v>
      </c>
      <c r="K13" s="182" t="str">
        <f t="shared" si="3"/>
        <v>Nov 23</v>
      </c>
    </row>
    <row r="14" spans="1:14" ht="12" customHeight="1" x14ac:dyDescent="0.2">
      <c r="A14" s="310">
        <v>43617</v>
      </c>
      <c r="B14" s="118" t="str">
        <f>TEXT(D14,"mm/dd/yyyy")</f>
        <v>07/01/2019</v>
      </c>
      <c r="C14" s="118" t="str">
        <f t="shared" si="10"/>
        <v xml:space="preserve">Monday, </v>
      </c>
      <c r="D14" s="117">
        <v>43647</v>
      </c>
      <c r="E14" t="str">
        <f t="shared" si="11"/>
        <v>Jul 08</v>
      </c>
      <c r="F14" s="117" t="str">
        <f t="shared" si="12"/>
        <v>Jul 13</v>
      </c>
      <c r="G14" s="320">
        <f t="shared" si="6"/>
        <v>43427</v>
      </c>
      <c r="H14" s="321" t="str">
        <f t="shared" si="1"/>
        <v>11/28/2018</v>
      </c>
      <c r="I14" s="322" t="str">
        <f t="shared" si="2"/>
        <v xml:space="preserve">Wednesday, </v>
      </c>
      <c r="J14" s="323">
        <v>43432</v>
      </c>
      <c r="K14" s="182" t="str">
        <f t="shared" si="3"/>
        <v>Nov 30</v>
      </c>
    </row>
    <row r="15" spans="1:14" ht="12" customHeight="1" x14ac:dyDescent="0.2">
      <c r="A15" s="310">
        <v>43647</v>
      </c>
      <c r="B15" s="118" t="str">
        <f t="shared" si="9"/>
        <v>08/01/2019</v>
      </c>
      <c r="C15" s="118" t="str">
        <f t="shared" si="10"/>
        <v xml:space="preserve">Thursday, </v>
      </c>
      <c r="D15" s="117">
        <v>43678</v>
      </c>
      <c r="E15" t="str">
        <f t="shared" si="11"/>
        <v>Aug 08</v>
      </c>
      <c r="F15" s="117" t="str">
        <f t="shared" si="12"/>
        <v>Aug 13</v>
      </c>
      <c r="G15" s="320">
        <f t="shared" si="6"/>
        <v>43434</v>
      </c>
      <c r="H15" s="321" t="str">
        <f t="shared" si="1"/>
        <v>12/12/2018</v>
      </c>
      <c r="I15" s="322" t="str">
        <f t="shared" si="2"/>
        <v xml:space="preserve">Wednesday, </v>
      </c>
      <c r="J15" s="323">
        <v>43446</v>
      </c>
      <c r="K15" s="182" t="str">
        <f t="shared" si="3"/>
        <v>Dec 14</v>
      </c>
    </row>
    <row r="16" spans="1:14" ht="12" customHeight="1" x14ac:dyDescent="0.2">
      <c r="A16" s="310">
        <v>43678</v>
      </c>
      <c r="B16" s="118" t="str">
        <f t="shared" si="9"/>
        <v>09/01/2019</v>
      </c>
      <c r="C16" s="118" t="str">
        <f t="shared" si="10"/>
        <v xml:space="preserve">Sunday, </v>
      </c>
      <c r="D16" s="117">
        <v>43709</v>
      </c>
      <c r="E16" t="str">
        <f t="shared" si="11"/>
        <v>Sep 08</v>
      </c>
      <c r="F16" s="117" t="str">
        <f t="shared" si="12"/>
        <v>Sep 13</v>
      </c>
      <c r="G16" s="320">
        <f t="shared" si="6"/>
        <v>43448</v>
      </c>
      <c r="H16" s="321" t="str">
        <f t="shared" si="1"/>
        <v>12/26/2018</v>
      </c>
      <c r="I16" s="322" t="str">
        <f t="shared" si="2"/>
        <v xml:space="preserve">Wednesday, </v>
      </c>
      <c r="J16" s="323">
        <v>43460</v>
      </c>
      <c r="K16" s="182" t="str">
        <f t="shared" si="3"/>
        <v>Dec 28</v>
      </c>
    </row>
    <row r="17" spans="1:17" ht="12" customHeight="1" x14ac:dyDescent="0.2">
      <c r="A17" s="310">
        <v>43709</v>
      </c>
      <c r="B17" s="118" t="str">
        <f t="shared" si="9"/>
        <v>10/01/2019</v>
      </c>
      <c r="C17" s="118" t="str">
        <f t="shared" si="10"/>
        <v xml:space="preserve">Tuesday, </v>
      </c>
      <c r="D17" s="117">
        <v>43739</v>
      </c>
      <c r="E17" t="str">
        <f t="shared" si="11"/>
        <v>Oct 08</v>
      </c>
      <c r="F17" s="117" t="str">
        <f t="shared" si="12"/>
        <v>Oct 13</v>
      </c>
      <c r="G17" s="320">
        <f t="shared" si="6"/>
        <v>43462</v>
      </c>
      <c r="H17" s="321" t="str">
        <f t="shared" si="1"/>
        <v>01/09/2019</v>
      </c>
      <c r="I17" s="322" t="str">
        <f t="shared" si="2"/>
        <v xml:space="preserve">Wednesday, </v>
      </c>
      <c r="J17" s="323">
        <v>43474</v>
      </c>
      <c r="K17" s="182" t="str">
        <f t="shared" si="3"/>
        <v>Jan 11</v>
      </c>
    </row>
    <row r="18" spans="1:17" ht="12" customHeight="1" x14ac:dyDescent="0.2">
      <c r="A18" s="310">
        <v>43739</v>
      </c>
      <c r="B18" s="118" t="str">
        <f t="shared" si="9"/>
        <v>11/01/2019</v>
      </c>
      <c r="C18" s="118" t="str">
        <f>TEXT(D18,"dddd")&amp;", "</f>
        <v xml:space="preserve">Friday, </v>
      </c>
      <c r="D18" s="117">
        <v>43770</v>
      </c>
      <c r="E18" t="str">
        <f t="shared" si="11"/>
        <v>Nov 08</v>
      </c>
      <c r="F18" s="117" t="str">
        <f t="shared" si="12"/>
        <v>Nov 13</v>
      </c>
      <c r="G18" s="320">
        <f t="shared" si="6"/>
        <v>43476</v>
      </c>
      <c r="H18" s="321" t="str">
        <f t="shared" si="1"/>
        <v>01/23/2019</v>
      </c>
      <c r="I18" s="322" t="str">
        <f t="shared" si="2"/>
        <v xml:space="preserve">Wednesday, </v>
      </c>
      <c r="J18" s="323">
        <v>43488</v>
      </c>
      <c r="K18" s="182" t="str">
        <f t="shared" si="3"/>
        <v>Jan 25</v>
      </c>
    </row>
    <row r="19" spans="1:17" ht="12" customHeight="1" x14ac:dyDescent="0.2">
      <c r="A19" s="16"/>
      <c r="F19" s="129"/>
      <c r="G19" s="320">
        <f t="shared" si="6"/>
        <v>43490</v>
      </c>
      <c r="H19" s="321" t="str">
        <f t="shared" si="1"/>
        <v>02/13/2019</v>
      </c>
      <c r="I19" s="322" t="str">
        <f t="shared" si="2"/>
        <v xml:space="preserve">Wednesday, </v>
      </c>
      <c r="J19" s="323">
        <v>43509</v>
      </c>
      <c r="K19" s="182" t="str">
        <f t="shared" si="3"/>
        <v>Feb 15</v>
      </c>
    </row>
    <row r="20" spans="1:17" ht="12" customHeight="1" x14ac:dyDescent="0.2">
      <c r="F20" s="129"/>
      <c r="G20" s="320">
        <f t="shared" si="6"/>
        <v>43511</v>
      </c>
      <c r="H20" s="321" t="str">
        <f t="shared" si="1"/>
        <v>02/27/2019</v>
      </c>
      <c r="I20" s="322" t="str">
        <f t="shared" si="2"/>
        <v xml:space="preserve">Wednesday, </v>
      </c>
      <c r="J20" s="323">
        <v>43523</v>
      </c>
      <c r="K20" s="182" t="str">
        <f t="shared" si="3"/>
        <v>Mar 01</v>
      </c>
    </row>
    <row r="21" spans="1:17" ht="12" customHeight="1" x14ac:dyDescent="0.2">
      <c r="F21" s="129"/>
      <c r="G21" s="320">
        <f t="shared" si="6"/>
        <v>43525</v>
      </c>
      <c r="H21" s="321" t="str">
        <f t="shared" si="1"/>
        <v>03/13/2019</v>
      </c>
      <c r="I21" s="322" t="str">
        <f t="shared" si="2"/>
        <v xml:space="preserve">Wednesday, </v>
      </c>
      <c r="J21" s="323">
        <v>43537</v>
      </c>
      <c r="K21" s="182" t="str">
        <f t="shared" si="3"/>
        <v>Mar 15</v>
      </c>
    </row>
    <row r="22" spans="1:17" ht="12" customHeight="1" x14ac:dyDescent="0.2">
      <c r="F22" s="129"/>
      <c r="H22"/>
    </row>
    <row r="23" spans="1:17" ht="12" customHeight="1" x14ac:dyDescent="0.2">
      <c r="F23" s="129"/>
      <c r="H23"/>
    </row>
    <row r="24" spans="1:17" ht="12" customHeight="1" x14ac:dyDescent="0.2">
      <c r="F24" s="129"/>
      <c r="G24" s="129"/>
    </row>
    <row r="25" spans="1:17" ht="12" customHeight="1" x14ac:dyDescent="0.2">
      <c r="F25" s="129"/>
      <c r="G25" s="129"/>
    </row>
    <row r="26" spans="1:17" ht="12" customHeight="1" x14ac:dyDescent="0.2">
      <c r="F26" s="129"/>
      <c r="G26" s="129"/>
    </row>
    <row r="27" spans="1:17" ht="12" customHeight="1" x14ac:dyDescent="0.2">
      <c r="F27" s="129"/>
      <c r="G27" s="129"/>
    </row>
    <row r="28" spans="1:17" ht="12" customHeight="1" x14ac:dyDescent="0.2">
      <c r="F28" s="129"/>
      <c r="G28" s="129"/>
    </row>
    <row r="29" spans="1:17" ht="12" customHeight="1" x14ac:dyDescent="0.2">
      <c r="F29" s="129"/>
      <c r="G29" s="129"/>
    </row>
    <row r="30" spans="1:17" ht="12" customHeight="1" x14ac:dyDescent="0.2">
      <c r="F30" s="129"/>
      <c r="G30" s="129"/>
      <c r="Q30" s="182"/>
    </row>
    <row r="31" spans="1:17" ht="12" customHeight="1" x14ac:dyDescent="0.2">
      <c r="F31" s="129"/>
      <c r="G31" s="129"/>
    </row>
    <row r="32" spans="1:17" ht="12" customHeight="1" x14ac:dyDescent="0.2">
      <c r="F32" s="129"/>
      <c r="G32" s="129"/>
    </row>
    <row r="33" spans="6:7" ht="12" customHeight="1" x14ac:dyDescent="0.2">
      <c r="F33" s="129"/>
      <c r="G33" s="129"/>
    </row>
    <row r="34" spans="6:7" ht="12" customHeight="1" x14ac:dyDescent="0.2">
      <c r="F34" s="129"/>
      <c r="G34" s="129"/>
    </row>
    <row r="35" spans="6:7" ht="12" customHeight="1" x14ac:dyDescent="0.2">
      <c r="F35" s="129"/>
      <c r="G35" s="129"/>
    </row>
    <row r="36" spans="6:7" ht="12" customHeight="1" x14ac:dyDescent="0.2">
      <c r="F36" s="129"/>
      <c r="G36" s="129"/>
    </row>
    <row r="37" spans="6:7" ht="12" customHeight="1" x14ac:dyDescent="0.2">
      <c r="F37" s="129"/>
      <c r="G37" s="129"/>
    </row>
    <row r="38" spans="6:7" ht="12" customHeight="1" x14ac:dyDescent="0.2">
      <c r="F38" s="129"/>
      <c r="G38" s="129"/>
    </row>
    <row r="39" spans="6:7" ht="12" customHeight="1" x14ac:dyDescent="0.2">
      <c r="F39" s="129"/>
      <c r="G39" s="129"/>
    </row>
    <row r="40" spans="6:7" ht="12" customHeight="1" x14ac:dyDescent="0.2">
      <c r="F40" s="129"/>
      <c r="G40" s="129"/>
    </row>
    <row r="41" spans="6:7" ht="12" customHeight="1" x14ac:dyDescent="0.2">
      <c r="F41" s="129"/>
      <c r="G41" s="129"/>
    </row>
    <row r="42" spans="6:7" ht="12" customHeight="1" x14ac:dyDescent="0.2">
      <c r="F42" s="129"/>
      <c r="G42" s="129"/>
    </row>
    <row r="43" spans="6:7" ht="12" customHeight="1" x14ac:dyDescent="0.2">
      <c r="F43" s="129"/>
      <c r="G43" s="129"/>
    </row>
    <row r="44" spans="6:7" ht="12" customHeight="1" x14ac:dyDescent="0.2">
      <c r="F44" s="129"/>
      <c r="G44" s="129"/>
    </row>
    <row r="45" spans="6:7" ht="12" customHeight="1" x14ac:dyDescent="0.2">
      <c r="F45" s="129"/>
      <c r="G45" s="129"/>
    </row>
    <row r="46" spans="6:7" ht="12" customHeight="1" x14ac:dyDescent="0.2">
      <c r="F46" s="129"/>
      <c r="G46" s="129"/>
    </row>
    <row r="47" spans="6:7" ht="12" customHeight="1" x14ac:dyDescent="0.2">
      <c r="F47" s="129"/>
      <c r="G47" s="129"/>
    </row>
    <row r="48" spans="6:7" ht="12" customHeight="1" x14ac:dyDescent="0.2">
      <c r="F48" s="129"/>
      <c r="G48" s="129"/>
    </row>
    <row r="49" spans="6:7" ht="12" customHeight="1" x14ac:dyDescent="0.2">
      <c r="F49" s="129"/>
      <c r="G49" s="129"/>
    </row>
    <row r="50" spans="6:7" ht="12" customHeight="1" x14ac:dyDescent="0.2">
      <c r="F50" s="129"/>
      <c r="G50" s="129"/>
    </row>
    <row r="51" spans="6:7" ht="12" customHeight="1" x14ac:dyDescent="0.2">
      <c r="F51" s="129"/>
      <c r="G51" s="129"/>
    </row>
    <row r="52" spans="6:7" ht="12" customHeight="1" x14ac:dyDescent="0.2">
      <c r="F52" s="129"/>
      <c r="G52" s="129"/>
    </row>
    <row r="53" spans="6:7" ht="12" customHeight="1" x14ac:dyDescent="0.2">
      <c r="F53" s="129"/>
      <c r="G53" s="129"/>
    </row>
    <row r="54" spans="6:7" ht="12" customHeight="1" x14ac:dyDescent="0.2">
      <c r="F54" s="129"/>
      <c r="G54" s="129"/>
    </row>
    <row r="55" spans="6:7" ht="12" customHeight="1" x14ac:dyDescent="0.2">
      <c r="F55" s="129"/>
      <c r="G55" s="129"/>
    </row>
    <row r="56" spans="6:7" ht="12" customHeight="1" x14ac:dyDescent="0.2">
      <c r="F56" s="129"/>
      <c r="G56" s="129"/>
    </row>
    <row r="57" spans="6:7" ht="12" customHeight="1" x14ac:dyDescent="0.2">
      <c r="F57" s="129"/>
      <c r="G57" s="129"/>
    </row>
    <row r="58" spans="6:7" ht="12" customHeight="1" x14ac:dyDescent="0.2">
      <c r="F58" s="129"/>
      <c r="G58" s="129"/>
    </row>
    <row r="59" spans="6:7" ht="12" customHeight="1" x14ac:dyDescent="0.2">
      <c r="F59" s="129"/>
      <c r="G59" s="129"/>
    </row>
    <row r="60" spans="6:7" ht="12" customHeight="1" x14ac:dyDescent="0.2">
      <c r="F60" s="129"/>
      <c r="G60" s="129"/>
    </row>
    <row r="61" spans="6:7" ht="12" customHeight="1" x14ac:dyDescent="0.2">
      <c r="F61" s="129"/>
      <c r="G61" s="129"/>
    </row>
    <row r="62" spans="6:7" ht="12" customHeight="1" x14ac:dyDescent="0.2">
      <c r="F62" s="129"/>
      <c r="G62" s="129"/>
    </row>
    <row r="63" spans="6:7" ht="12" customHeight="1" x14ac:dyDescent="0.2">
      <c r="F63" s="129"/>
      <c r="G63" s="129"/>
    </row>
    <row r="64" spans="6:7" ht="12" customHeight="1" x14ac:dyDescent="0.2">
      <c r="F64" s="129"/>
      <c r="G64" s="129"/>
    </row>
    <row r="65" spans="6:7" ht="12" customHeight="1" x14ac:dyDescent="0.2">
      <c r="F65" s="129"/>
      <c r="G65" s="129"/>
    </row>
    <row r="66" spans="6:7" ht="12" customHeight="1" x14ac:dyDescent="0.2">
      <c r="F66" s="129"/>
      <c r="G66" s="129"/>
    </row>
    <row r="67" spans="6:7" ht="12" customHeight="1" x14ac:dyDescent="0.2">
      <c r="F67" s="129"/>
      <c r="G67" s="129"/>
    </row>
    <row r="68" spans="6:7" ht="12" customHeight="1" x14ac:dyDescent="0.2">
      <c r="F68" s="129"/>
      <c r="G68" s="129"/>
    </row>
    <row r="69" spans="6:7" ht="12" customHeight="1" x14ac:dyDescent="0.2">
      <c r="F69" s="129"/>
      <c r="G69" s="129"/>
    </row>
    <row r="70" spans="6:7" ht="12" customHeight="1" x14ac:dyDescent="0.2">
      <c r="F70" s="129"/>
      <c r="G70" s="129"/>
    </row>
    <row r="71" spans="6:7" ht="12" customHeight="1" x14ac:dyDescent="0.2">
      <c r="F71" s="129"/>
      <c r="G71" s="129"/>
    </row>
    <row r="72" spans="6:7" ht="12" customHeight="1" x14ac:dyDescent="0.2">
      <c r="F72" s="129"/>
      <c r="G72" s="129"/>
    </row>
    <row r="73" spans="6:7" ht="12" customHeight="1" x14ac:dyDescent="0.2">
      <c r="F73" s="129"/>
      <c r="G73" s="129"/>
    </row>
    <row r="74" spans="6:7" ht="12" customHeight="1" x14ac:dyDescent="0.2">
      <c r="F74" s="129"/>
      <c r="G74" s="129"/>
    </row>
    <row r="75" spans="6:7" ht="12" customHeight="1" x14ac:dyDescent="0.2">
      <c r="F75" s="129"/>
      <c r="G75" s="129"/>
    </row>
    <row r="76" spans="6:7" ht="12" customHeight="1" x14ac:dyDescent="0.2">
      <c r="F76" s="129"/>
      <c r="G76" s="129"/>
    </row>
    <row r="77" spans="6:7" ht="12" customHeight="1" x14ac:dyDescent="0.2">
      <c r="F77" s="129"/>
      <c r="G77" s="129"/>
    </row>
    <row r="78" spans="6:7" ht="12" customHeight="1" x14ac:dyDescent="0.2">
      <c r="F78" s="129"/>
      <c r="G78" s="129"/>
    </row>
    <row r="79" spans="6:7" ht="12" customHeight="1" x14ac:dyDescent="0.2">
      <c r="F79" s="129"/>
      <c r="G79" s="129"/>
    </row>
    <row r="80" spans="6:7" ht="12" customHeight="1" x14ac:dyDescent="0.2">
      <c r="F80" s="129"/>
      <c r="G80" s="129"/>
    </row>
    <row r="81" spans="6:7" ht="12" customHeight="1" x14ac:dyDescent="0.2">
      <c r="F81" s="129"/>
      <c r="G81" s="129"/>
    </row>
    <row r="82" spans="6:7" ht="12" customHeight="1" x14ac:dyDescent="0.2">
      <c r="F82" s="129"/>
      <c r="G82" s="129"/>
    </row>
    <row r="83" spans="6:7" ht="12" customHeight="1" x14ac:dyDescent="0.2">
      <c r="F83" s="129"/>
      <c r="G83" s="129"/>
    </row>
    <row r="84" spans="6:7" ht="12" customHeight="1" x14ac:dyDescent="0.2">
      <c r="F84" s="129"/>
      <c r="G84" s="129"/>
    </row>
    <row r="85" spans="6:7" ht="12" customHeight="1" x14ac:dyDescent="0.2">
      <c r="F85" s="129"/>
      <c r="G85" s="129"/>
    </row>
    <row r="86" spans="6:7" ht="12" customHeight="1" x14ac:dyDescent="0.2">
      <c r="F86" s="129"/>
      <c r="G86" s="129"/>
    </row>
    <row r="87" spans="6:7" ht="12" customHeight="1" x14ac:dyDescent="0.2">
      <c r="F87" s="129"/>
      <c r="G87" s="129"/>
    </row>
    <row r="88" spans="6:7" ht="12" customHeight="1" x14ac:dyDescent="0.2">
      <c r="F88" s="129"/>
      <c r="G88" s="129"/>
    </row>
    <row r="89" spans="6:7" ht="12" customHeight="1" x14ac:dyDescent="0.2">
      <c r="F89" s="129"/>
      <c r="G89" s="129"/>
    </row>
    <row r="90" spans="6:7" ht="12" customHeight="1" x14ac:dyDescent="0.2">
      <c r="F90" s="129"/>
      <c r="G90" s="129"/>
    </row>
    <row r="91" spans="6:7" ht="12" customHeight="1" x14ac:dyDescent="0.2">
      <c r="F91" s="129"/>
      <c r="G91" s="129"/>
    </row>
    <row r="92" spans="6:7" ht="12" customHeight="1" x14ac:dyDescent="0.2">
      <c r="F92" s="129"/>
      <c r="G92" s="129"/>
    </row>
    <row r="93" spans="6:7" ht="12" customHeight="1" x14ac:dyDescent="0.2">
      <c r="F93" s="129"/>
      <c r="G93" s="129"/>
    </row>
    <row r="94" spans="6:7" ht="12" customHeight="1" x14ac:dyDescent="0.2">
      <c r="F94" s="129"/>
      <c r="G94" s="129"/>
    </row>
    <row r="95" spans="6:7" ht="12" customHeight="1" x14ac:dyDescent="0.2">
      <c r="F95" s="129"/>
      <c r="G95" s="129"/>
    </row>
    <row r="96" spans="6:7" ht="12" customHeight="1" x14ac:dyDescent="0.2">
      <c r="F96" s="129"/>
      <c r="G96" s="129"/>
    </row>
    <row r="97" spans="6:7" ht="12" customHeight="1" x14ac:dyDescent="0.2">
      <c r="F97" s="129"/>
      <c r="G97" s="129"/>
    </row>
    <row r="98" spans="6:7" ht="12" customHeight="1" x14ac:dyDescent="0.2">
      <c r="F98" s="129"/>
      <c r="G98" s="129"/>
    </row>
    <row r="99" spans="6:7" ht="12" customHeight="1" x14ac:dyDescent="0.2">
      <c r="F99" s="129"/>
      <c r="G99" s="129"/>
    </row>
    <row r="100" spans="6:7" ht="12" customHeight="1" x14ac:dyDescent="0.2">
      <c r="F100" s="129"/>
      <c r="G100" s="129"/>
    </row>
    <row r="101" spans="6:7" ht="12" customHeight="1" x14ac:dyDescent="0.2">
      <c r="F101" s="129"/>
      <c r="G101" s="129"/>
    </row>
    <row r="102" spans="6:7" ht="12" customHeight="1" x14ac:dyDescent="0.2">
      <c r="F102" s="129"/>
      <c r="G102" s="129"/>
    </row>
    <row r="103" spans="6:7" ht="12" customHeight="1" x14ac:dyDescent="0.2">
      <c r="F103" s="129"/>
      <c r="G103" s="129"/>
    </row>
    <row r="104" spans="6:7" ht="12" customHeight="1" x14ac:dyDescent="0.2">
      <c r="F104" s="129"/>
      <c r="G104" s="129"/>
    </row>
    <row r="105" spans="6:7" ht="12" customHeight="1" x14ac:dyDescent="0.2">
      <c r="F105" s="129"/>
      <c r="G105" s="129"/>
    </row>
    <row r="106" spans="6:7" ht="12" customHeight="1" x14ac:dyDescent="0.2">
      <c r="F106" s="129"/>
      <c r="G106" s="129"/>
    </row>
    <row r="107" spans="6:7" ht="12" customHeight="1" x14ac:dyDescent="0.2">
      <c r="F107" s="129"/>
      <c r="G107" s="129"/>
    </row>
    <row r="108" spans="6:7" ht="12" customHeight="1" x14ac:dyDescent="0.2">
      <c r="F108" s="129"/>
      <c r="G108" s="129"/>
    </row>
    <row r="109" spans="6:7" ht="12" customHeight="1" x14ac:dyDescent="0.2">
      <c r="F109" s="129"/>
      <c r="G109" s="129"/>
    </row>
    <row r="110" spans="6:7" ht="12" customHeight="1" x14ac:dyDescent="0.2">
      <c r="F110" s="129"/>
      <c r="G110" s="129"/>
    </row>
    <row r="111" spans="6:7" ht="12" customHeight="1" x14ac:dyDescent="0.2">
      <c r="F111" s="129"/>
      <c r="G111" s="129"/>
    </row>
    <row r="112" spans="6:7" ht="12" customHeight="1" x14ac:dyDescent="0.2">
      <c r="F112" s="129"/>
      <c r="G112" s="129"/>
    </row>
    <row r="113" spans="6:7" ht="12" customHeight="1" x14ac:dyDescent="0.2">
      <c r="F113" s="129"/>
      <c r="G113" s="129"/>
    </row>
    <row r="114" spans="6:7" ht="12" customHeight="1" x14ac:dyDescent="0.2">
      <c r="F114" s="129"/>
      <c r="G114" s="129"/>
    </row>
    <row r="115" spans="6:7" ht="12" customHeight="1" x14ac:dyDescent="0.2">
      <c r="F115" s="129"/>
      <c r="G115" s="129"/>
    </row>
    <row r="116" spans="6:7" ht="12" customHeight="1" x14ac:dyDescent="0.2">
      <c r="F116" s="129"/>
      <c r="G116" s="129"/>
    </row>
    <row r="117" spans="6:7" ht="12" customHeight="1" x14ac:dyDescent="0.2">
      <c r="F117" s="129"/>
      <c r="G117" s="129"/>
    </row>
    <row r="118" spans="6:7" ht="12" customHeight="1" x14ac:dyDescent="0.2">
      <c r="F118" s="129"/>
      <c r="G118" s="129"/>
    </row>
    <row r="119" spans="6:7" ht="12" customHeight="1" x14ac:dyDescent="0.2">
      <c r="F119" s="129"/>
      <c r="G119" s="129"/>
    </row>
    <row r="120" spans="6:7" ht="12" customHeight="1" x14ac:dyDescent="0.2">
      <c r="F120" s="129"/>
      <c r="G120" s="129"/>
    </row>
    <row r="121" spans="6:7" ht="12" customHeight="1" x14ac:dyDescent="0.2">
      <c r="F121" s="129"/>
      <c r="G121" s="129"/>
    </row>
    <row r="122" spans="6:7" ht="12" customHeight="1" x14ac:dyDescent="0.2">
      <c r="F122" s="129"/>
      <c r="G122" s="129"/>
    </row>
    <row r="123" spans="6:7" ht="12" customHeight="1" x14ac:dyDescent="0.2">
      <c r="F123" s="129"/>
      <c r="G123" s="129"/>
    </row>
    <row r="124" spans="6:7" ht="12" customHeight="1" x14ac:dyDescent="0.2">
      <c r="F124" s="129"/>
      <c r="G124" s="129"/>
    </row>
    <row r="125" spans="6:7" ht="12" customHeight="1" x14ac:dyDescent="0.2">
      <c r="F125" s="129"/>
      <c r="G125" s="129"/>
    </row>
    <row r="126" spans="6:7" ht="12" customHeight="1" x14ac:dyDescent="0.2">
      <c r="F126" s="129"/>
      <c r="G126" s="129"/>
    </row>
    <row r="127" spans="6:7" ht="12" customHeight="1" x14ac:dyDescent="0.2">
      <c r="F127" s="129"/>
      <c r="G127" s="129"/>
    </row>
    <row r="128" spans="6:7" ht="12" customHeight="1" x14ac:dyDescent="0.2">
      <c r="F128" s="129"/>
      <c r="G128" s="129"/>
    </row>
    <row r="129" spans="6:7" ht="12" customHeight="1" x14ac:dyDescent="0.2">
      <c r="F129" s="129"/>
      <c r="G129" s="129"/>
    </row>
    <row r="130" spans="6:7" ht="12" customHeight="1" x14ac:dyDescent="0.2">
      <c r="F130" s="129"/>
      <c r="G130" s="129"/>
    </row>
    <row r="131" spans="6:7" ht="12" customHeight="1" x14ac:dyDescent="0.2">
      <c r="F131" s="129"/>
      <c r="G131" s="129"/>
    </row>
    <row r="132" spans="6:7" ht="12" customHeight="1" x14ac:dyDescent="0.2">
      <c r="F132" s="129"/>
      <c r="G132" s="129"/>
    </row>
    <row r="133" spans="6:7" ht="12" customHeight="1" x14ac:dyDescent="0.2">
      <c r="F133" s="129"/>
      <c r="G133" s="129"/>
    </row>
    <row r="134" spans="6:7" ht="12" customHeight="1" x14ac:dyDescent="0.2">
      <c r="G134" s="129"/>
    </row>
    <row r="135" spans="6:7" ht="12" customHeight="1" x14ac:dyDescent="0.2">
      <c r="G135" s="129"/>
    </row>
    <row r="136" spans="6:7" ht="12" customHeight="1" x14ac:dyDescent="0.2">
      <c r="G136" s="129"/>
    </row>
  </sheetData>
  <mergeCells count="2">
    <mergeCell ref="A1:E1"/>
    <mergeCell ref="G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Y57"/>
  <sheetViews>
    <sheetView view="pageBreakPreview" zoomScale="75" zoomScaleNormal="100" zoomScaleSheetLayoutView="75" workbookViewId="0">
      <selection activeCell="A17" sqref="A17"/>
    </sheetView>
  </sheetViews>
  <sheetFormatPr defaultRowHeight="12.75" x14ac:dyDescent="0.2"/>
  <cols>
    <col min="1" max="1" width="10.7109375" customWidth="1"/>
    <col min="2" max="3" width="14.28515625" customWidth="1"/>
    <col min="4" max="4" width="15.85546875" customWidth="1"/>
    <col min="5" max="7" width="23.7109375" customWidth="1"/>
    <col min="8" max="12" width="13" customWidth="1"/>
    <col min="13" max="13" width="4.5703125" style="171" customWidth="1"/>
    <col min="14" max="14" width="2.28515625" style="171" customWidth="1"/>
    <col min="15" max="15" width="2" style="163" customWidth="1"/>
    <col min="21" max="24" width="7.85546875" customWidth="1"/>
  </cols>
  <sheetData>
    <row r="1" spans="1:25" x14ac:dyDescent="0.2">
      <c r="A1" s="639" t="s">
        <v>1607</v>
      </c>
      <c r="B1" s="640"/>
      <c r="C1" s="640"/>
      <c r="D1" s="640"/>
      <c r="E1" s="641"/>
      <c r="J1" s="5" t="s">
        <v>80</v>
      </c>
      <c r="K1" s="4" t="str">
        <f>Summary!B9</f>
        <v>Gordy Decker</v>
      </c>
      <c r="L1" s="4"/>
      <c r="M1" s="170"/>
      <c r="N1" s="170"/>
    </row>
    <row r="2" spans="1:25" x14ac:dyDescent="0.2">
      <c r="A2" s="367" t="s">
        <v>99</v>
      </c>
      <c r="B2" s="368"/>
      <c r="C2" s="369"/>
      <c r="D2" s="370" t="s">
        <v>1</v>
      </c>
      <c r="E2" s="371"/>
      <c r="J2" s="5" t="s">
        <v>107</v>
      </c>
      <c r="K2" s="43">
        <f>Summary!E9</f>
        <v>0</v>
      </c>
    </row>
    <row r="3" spans="1:25" x14ac:dyDescent="0.2">
      <c r="A3" s="367" t="s">
        <v>0</v>
      </c>
      <c r="B3" s="368"/>
      <c r="C3" s="369"/>
      <c r="D3" s="367" t="s">
        <v>2</v>
      </c>
      <c r="E3" s="369"/>
      <c r="J3" s="358"/>
      <c r="K3" s="359"/>
    </row>
    <row r="4" spans="1:25" x14ac:dyDescent="0.2">
      <c r="A4" s="372"/>
      <c r="B4" s="373"/>
      <c r="C4" s="374"/>
      <c r="D4" s="372"/>
      <c r="E4" s="374"/>
      <c r="G4" s="448" t="s">
        <v>1650</v>
      </c>
      <c r="I4" s="448"/>
      <c r="J4" s="448"/>
      <c r="K4" s="448"/>
      <c r="L4" s="448"/>
    </row>
    <row r="5" spans="1:25" x14ac:dyDescent="0.2">
      <c r="G5" s="449" t="s">
        <v>1649</v>
      </c>
      <c r="I5" s="448"/>
      <c r="J5" s="448"/>
      <c r="K5" s="448"/>
      <c r="L5" s="448"/>
    </row>
    <row r="6" spans="1:25" x14ac:dyDescent="0.2">
      <c r="K6" s="359"/>
    </row>
    <row r="7" spans="1:25" x14ac:dyDescent="0.2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652"/>
      <c r="K7" s="653"/>
      <c r="L7" s="654"/>
    </row>
    <row r="8" spans="1:25" x14ac:dyDescent="0.2">
      <c r="A8" s="633"/>
      <c r="B8" s="634"/>
      <c r="C8" s="634"/>
      <c r="D8" s="634"/>
      <c r="E8" s="635"/>
      <c r="G8" s="661" t="s">
        <v>115</v>
      </c>
      <c r="H8" s="662"/>
      <c r="I8" s="663"/>
      <c r="J8" s="655"/>
      <c r="K8" s="656"/>
      <c r="L8" s="657"/>
    </row>
    <row r="9" spans="1:25" x14ac:dyDescent="0.2">
      <c r="A9" s="633"/>
      <c r="B9" s="634"/>
      <c r="C9" s="634"/>
      <c r="D9" s="634"/>
      <c r="E9" s="635"/>
      <c r="G9" s="661" t="s">
        <v>116</v>
      </c>
      <c r="H9" s="662"/>
      <c r="I9" s="663"/>
      <c r="J9" s="655"/>
      <c r="K9" s="656"/>
      <c r="L9" s="657"/>
    </row>
    <row r="10" spans="1:25" x14ac:dyDescent="0.2">
      <c r="A10" s="633"/>
      <c r="B10" s="634"/>
      <c r="C10" s="634"/>
      <c r="D10" s="634"/>
      <c r="E10" s="635"/>
      <c r="G10" s="646"/>
      <c r="H10" s="647"/>
      <c r="I10" s="648"/>
      <c r="J10" s="646"/>
      <c r="K10" s="647"/>
      <c r="L10" s="648"/>
    </row>
    <row r="11" spans="1:25" x14ac:dyDescent="0.2">
      <c r="A11" s="633"/>
      <c r="B11" s="634"/>
      <c r="C11" s="634"/>
      <c r="D11" s="634"/>
      <c r="E11" s="635"/>
      <c r="G11" s="646"/>
      <c r="H11" s="647"/>
      <c r="I11" s="648"/>
      <c r="J11" s="646"/>
      <c r="K11" s="647"/>
      <c r="L11" s="648"/>
    </row>
    <row r="12" spans="1:25" x14ac:dyDescent="0.2">
      <c r="A12" s="636"/>
      <c r="B12" s="637"/>
      <c r="C12" s="637"/>
      <c r="D12" s="637"/>
      <c r="E12" s="638"/>
      <c r="G12" s="649"/>
      <c r="H12" s="650"/>
      <c r="I12" s="651"/>
      <c r="J12" s="649"/>
      <c r="K12" s="650"/>
      <c r="L12" s="651"/>
    </row>
    <row r="13" spans="1:25" x14ac:dyDescent="0.2">
      <c r="A13" s="361"/>
      <c r="B13" s="361"/>
      <c r="C13" s="361"/>
      <c r="D13" s="361"/>
      <c r="E13" s="361"/>
      <c r="G13" s="362"/>
      <c r="H13" s="362"/>
      <c r="I13" s="362"/>
      <c r="J13" s="362"/>
      <c r="K13" s="362"/>
      <c r="L13" s="362"/>
    </row>
    <row r="14" spans="1:25" ht="12.75" customHeight="1" x14ac:dyDescent="0.2">
      <c r="A14" s="35" t="s">
        <v>28</v>
      </c>
      <c r="B14" s="671" t="s">
        <v>89</v>
      </c>
      <c r="C14" s="671"/>
      <c r="D14" s="671"/>
      <c r="E14" s="15"/>
      <c r="F14" s="15"/>
      <c r="G14" s="15"/>
      <c r="H14" s="664" t="s">
        <v>30</v>
      </c>
      <c r="I14" s="664"/>
      <c r="J14" s="664"/>
      <c r="K14" s="664"/>
      <c r="L14" s="15"/>
      <c r="M14" s="170"/>
      <c r="N14" s="170"/>
      <c r="P14" s="667" t="s">
        <v>186</v>
      </c>
      <c r="Q14" s="667"/>
      <c r="R14" s="667"/>
      <c r="S14" s="667"/>
      <c r="T14" s="667"/>
      <c r="U14" s="665" t="s">
        <v>288</v>
      </c>
      <c r="V14" s="665" t="s">
        <v>291</v>
      </c>
      <c r="W14" s="665" t="s">
        <v>509</v>
      </c>
      <c r="X14" s="673" t="s">
        <v>291</v>
      </c>
      <c r="Y14" s="665" t="s">
        <v>664</v>
      </c>
    </row>
    <row r="15" spans="1:25" ht="12.75" customHeight="1" x14ac:dyDescent="0.2">
      <c r="A15" s="98" t="s">
        <v>104</v>
      </c>
      <c r="B15" s="669" t="s">
        <v>815</v>
      </c>
      <c r="C15" s="669"/>
      <c r="D15" s="669"/>
      <c r="E15" s="669" t="s">
        <v>29</v>
      </c>
      <c r="F15" s="669"/>
      <c r="G15" s="669"/>
      <c r="H15" s="670" t="s">
        <v>90</v>
      </c>
      <c r="I15" s="670"/>
      <c r="J15" s="670"/>
      <c r="K15" s="670"/>
      <c r="L15" s="56" t="s">
        <v>31</v>
      </c>
      <c r="M15" s="478">
        <f ca="1">COUNTIF(M17:M57,"disallow")</f>
        <v>0</v>
      </c>
      <c r="N15" s="170"/>
      <c r="P15" s="167" t="s">
        <v>286</v>
      </c>
      <c r="Q15" s="672" t="s">
        <v>287</v>
      </c>
      <c r="R15" s="672"/>
      <c r="S15" s="672"/>
      <c r="T15" s="672"/>
      <c r="U15" s="666"/>
      <c r="V15" s="666"/>
      <c r="W15" s="666"/>
      <c r="X15" s="674"/>
      <c r="Y15" s="666"/>
    </row>
    <row r="16" spans="1:25" ht="12.75" hidden="1" customHeight="1" x14ac:dyDescent="0.2">
      <c r="A16" s="58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39"/>
      <c r="M16" s="172" t="str">
        <f>IF(L16&gt;=75,"*"," ")</f>
        <v xml:space="preserve"> </v>
      </c>
      <c r="N16" s="172"/>
      <c r="O16" s="163" t="str">
        <f>IF(L16&gt;=75,L16," ")</f>
        <v xml:space="preserve"> </v>
      </c>
      <c r="P16" s="166"/>
      <c r="Q16" s="166"/>
      <c r="R16" s="166"/>
      <c r="S16" s="166"/>
      <c r="T16" s="166"/>
      <c r="U16" s="166"/>
      <c r="V16" s="166"/>
      <c r="W16" s="166"/>
      <c r="X16" s="193"/>
      <c r="Y16" s="166"/>
    </row>
    <row r="17" spans="1:25" x14ac:dyDescent="0.2">
      <c r="A17" s="503"/>
      <c r="B17" s="642"/>
      <c r="C17" s="643"/>
      <c r="D17" s="643"/>
      <c r="E17" s="644"/>
      <c r="F17" s="645"/>
      <c r="G17" s="645"/>
      <c r="H17" s="642"/>
      <c r="I17" s="643"/>
      <c r="J17" s="643"/>
      <c r="K17" s="643"/>
      <c r="L17" s="504"/>
      <c r="M17" s="164" t="str">
        <f t="shared" ref="M17:M52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/>
      </c>
      <c r="N17" s="160"/>
      <c r="O17" s="163" t="str">
        <f ca="1">IF(AND(L17&gt;=75,M17&lt;&gt;"disallow"),1," ")</f>
        <v xml:space="preserve"> </v>
      </c>
      <c r="P17" s="168"/>
      <c r="Q17" s="629"/>
      <c r="R17" s="629"/>
      <c r="S17" s="629"/>
      <c r="T17" s="629"/>
      <c r="U17" s="176"/>
      <c r="V17" s="176">
        <f t="shared" ref="V17:V52" ca="1" si="1">IF(AND(M17="disallow",W17=0),L17,0)</f>
        <v>0</v>
      </c>
      <c r="W17" s="176"/>
      <c r="X17" s="205">
        <f t="shared" ref="X17:X52" si="2">IF(W17&gt;0,-U17,0)</f>
        <v>0</v>
      </c>
      <c r="Y17" s="166">
        <f t="shared" ref="Y17:Y52" si="3">IF(AND(A17&lt;Fiscal_Start_Date,submit_date-A17&lt;90),L17,0)</f>
        <v>0</v>
      </c>
    </row>
    <row r="18" spans="1:25" x14ac:dyDescent="0.2">
      <c r="A18" s="503"/>
      <c r="B18" s="642"/>
      <c r="C18" s="643"/>
      <c r="D18" s="643"/>
      <c r="E18" s="644"/>
      <c r="F18" s="645"/>
      <c r="G18" s="645"/>
      <c r="H18" s="642"/>
      <c r="I18" s="643"/>
      <c r="J18" s="643"/>
      <c r="K18" s="643"/>
      <c r="L18" s="504"/>
      <c r="M18" s="164" t="str">
        <f t="shared" ca="1" si="0"/>
        <v/>
      </c>
      <c r="N18" s="160"/>
      <c r="O18" s="163" t="str">
        <f t="shared" ref="O18:O52" ca="1" si="4">IF(AND(L18&gt;=75,M18&lt;&gt;"disallow"),1," ")</f>
        <v xml:space="preserve"> </v>
      </c>
      <c r="P18" s="168"/>
      <c r="Q18" s="629"/>
      <c r="R18" s="629"/>
      <c r="S18" s="629"/>
      <c r="T18" s="629"/>
      <c r="U18" s="176"/>
      <c r="V18" s="176">
        <f t="shared" ca="1" si="1"/>
        <v>0</v>
      </c>
      <c r="W18" s="176"/>
      <c r="X18" s="205">
        <f>IF(W18&gt;0,-U18,0)</f>
        <v>0</v>
      </c>
      <c r="Y18" s="166">
        <f t="shared" si="3"/>
        <v>0</v>
      </c>
    </row>
    <row r="19" spans="1:25" x14ac:dyDescent="0.2">
      <c r="A19" s="503"/>
      <c r="B19" s="642"/>
      <c r="C19" s="643"/>
      <c r="D19" s="643"/>
      <c r="E19" s="644"/>
      <c r="F19" s="645"/>
      <c r="G19" s="645"/>
      <c r="H19" s="642"/>
      <c r="I19" s="643"/>
      <c r="J19" s="643"/>
      <c r="K19" s="643"/>
      <c r="L19" s="504"/>
      <c r="M19" s="164" t="str">
        <f t="shared" ca="1" si="0"/>
        <v/>
      </c>
      <c r="N19" s="160"/>
      <c r="O19" s="163" t="str">
        <f t="shared" ca="1" si="4"/>
        <v xml:space="preserve"> </v>
      </c>
      <c r="P19" s="168"/>
      <c r="Q19" s="629"/>
      <c r="R19" s="629"/>
      <c r="S19" s="629"/>
      <c r="T19" s="629"/>
      <c r="U19" s="176"/>
      <c r="V19" s="176">
        <f t="shared" ca="1" si="1"/>
        <v>0</v>
      </c>
      <c r="W19" s="176"/>
      <c r="X19" s="205">
        <f t="shared" si="2"/>
        <v>0</v>
      </c>
      <c r="Y19" s="166">
        <f t="shared" si="3"/>
        <v>0</v>
      </c>
    </row>
    <row r="20" spans="1:25" x14ac:dyDescent="0.2">
      <c r="A20" s="503"/>
      <c r="B20" s="642"/>
      <c r="C20" s="643"/>
      <c r="D20" s="643"/>
      <c r="E20" s="644"/>
      <c r="F20" s="645"/>
      <c r="G20" s="645"/>
      <c r="H20" s="642"/>
      <c r="I20" s="643"/>
      <c r="J20" s="643"/>
      <c r="K20" s="643"/>
      <c r="L20" s="504"/>
      <c r="M20" s="164" t="str">
        <f t="shared" ca="1" si="0"/>
        <v/>
      </c>
      <c r="N20" s="160"/>
      <c r="O20" s="163" t="str">
        <f t="shared" ca="1" si="4"/>
        <v xml:space="preserve"> </v>
      </c>
      <c r="P20" s="168"/>
      <c r="Q20" s="629"/>
      <c r="R20" s="629"/>
      <c r="S20" s="629"/>
      <c r="T20" s="629"/>
      <c r="U20" s="176"/>
      <c r="V20" s="176">
        <f t="shared" ca="1" si="1"/>
        <v>0</v>
      </c>
      <c r="W20" s="176"/>
      <c r="X20" s="205">
        <f t="shared" si="2"/>
        <v>0</v>
      </c>
      <c r="Y20" s="166">
        <f t="shared" si="3"/>
        <v>0</v>
      </c>
    </row>
    <row r="21" spans="1:25" x14ac:dyDescent="0.2">
      <c r="A21" s="503"/>
      <c r="B21" s="642"/>
      <c r="C21" s="643"/>
      <c r="D21" s="643"/>
      <c r="E21" s="644"/>
      <c r="F21" s="645"/>
      <c r="G21" s="645"/>
      <c r="H21" s="642"/>
      <c r="I21" s="643"/>
      <c r="J21" s="643"/>
      <c r="K21" s="643"/>
      <c r="L21" s="504"/>
      <c r="M21" s="164" t="str">
        <f t="shared" ca="1" si="0"/>
        <v/>
      </c>
      <c r="N21" s="160"/>
      <c r="O21" s="163" t="str">
        <f t="shared" ca="1" si="4"/>
        <v xml:space="preserve"> </v>
      </c>
      <c r="P21" s="168"/>
      <c r="Q21" s="629"/>
      <c r="R21" s="629"/>
      <c r="S21" s="629"/>
      <c r="T21" s="629"/>
      <c r="U21" s="176"/>
      <c r="V21" s="176">
        <f t="shared" ca="1" si="1"/>
        <v>0</v>
      </c>
      <c r="W21" s="176"/>
      <c r="X21" s="205">
        <f t="shared" si="2"/>
        <v>0</v>
      </c>
      <c r="Y21" s="166">
        <f t="shared" si="3"/>
        <v>0</v>
      </c>
    </row>
    <row r="22" spans="1:25" x14ac:dyDescent="0.2">
      <c r="A22" s="503"/>
      <c r="B22" s="642"/>
      <c r="C22" s="643"/>
      <c r="D22" s="643"/>
      <c r="E22" s="644"/>
      <c r="F22" s="645"/>
      <c r="G22" s="645"/>
      <c r="H22" s="642"/>
      <c r="I22" s="643"/>
      <c r="J22" s="643"/>
      <c r="K22" s="643"/>
      <c r="L22" s="504"/>
      <c r="M22" s="164" t="str">
        <f t="shared" ca="1" si="0"/>
        <v/>
      </c>
      <c r="N22" s="160"/>
      <c r="O22" s="163" t="str">
        <f t="shared" ca="1" si="4"/>
        <v xml:space="preserve"> </v>
      </c>
      <c r="P22" s="168"/>
      <c r="Q22" s="629"/>
      <c r="R22" s="629"/>
      <c r="S22" s="629"/>
      <c r="T22" s="629"/>
      <c r="U22" s="176"/>
      <c r="V22" s="176">
        <f t="shared" ca="1" si="1"/>
        <v>0</v>
      </c>
      <c r="W22" s="176"/>
      <c r="X22" s="205">
        <f t="shared" si="2"/>
        <v>0</v>
      </c>
      <c r="Y22" s="166">
        <f t="shared" si="3"/>
        <v>0</v>
      </c>
    </row>
    <row r="23" spans="1:25" x14ac:dyDescent="0.2">
      <c r="A23" s="503"/>
      <c r="B23" s="642"/>
      <c r="C23" s="643"/>
      <c r="D23" s="643"/>
      <c r="E23" s="644"/>
      <c r="F23" s="645"/>
      <c r="G23" s="645"/>
      <c r="H23" s="642"/>
      <c r="I23" s="643"/>
      <c r="J23" s="643"/>
      <c r="K23" s="643"/>
      <c r="L23" s="504"/>
      <c r="M23" s="164" t="str">
        <f t="shared" ca="1" si="0"/>
        <v/>
      </c>
      <c r="N23" s="160"/>
      <c r="O23" s="163" t="str">
        <f t="shared" ca="1" si="4"/>
        <v xml:space="preserve"> </v>
      </c>
      <c r="P23" s="168"/>
      <c r="Q23" s="629"/>
      <c r="R23" s="629"/>
      <c r="S23" s="629"/>
      <c r="T23" s="629"/>
      <c r="U23" s="176"/>
      <c r="V23" s="176">
        <f t="shared" ca="1" si="1"/>
        <v>0</v>
      </c>
      <c r="W23" s="176"/>
      <c r="X23" s="205">
        <f t="shared" si="2"/>
        <v>0</v>
      </c>
      <c r="Y23" s="166">
        <f t="shared" si="3"/>
        <v>0</v>
      </c>
    </row>
    <row r="24" spans="1:25" x14ac:dyDescent="0.2">
      <c r="A24" s="503"/>
      <c r="B24" s="642"/>
      <c r="C24" s="643"/>
      <c r="D24" s="643"/>
      <c r="E24" s="644"/>
      <c r="F24" s="645"/>
      <c r="G24" s="645"/>
      <c r="H24" s="642"/>
      <c r="I24" s="643"/>
      <c r="J24" s="643"/>
      <c r="K24" s="643"/>
      <c r="L24" s="504"/>
      <c r="M24" s="164" t="str">
        <f t="shared" ca="1" si="0"/>
        <v/>
      </c>
      <c r="N24" s="160"/>
      <c r="O24" s="163" t="str">
        <f t="shared" ca="1" si="4"/>
        <v xml:space="preserve"> </v>
      </c>
      <c r="P24" s="168"/>
      <c r="Q24" s="629"/>
      <c r="R24" s="629"/>
      <c r="S24" s="629"/>
      <c r="T24" s="629"/>
      <c r="U24" s="176"/>
      <c r="V24" s="176">
        <f t="shared" ca="1" si="1"/>
        <v>0</v>
      </c>
      <c r="W24" s="176"/>
      <c r="X24" s="205">
        <f t="shared" si="2"/>
        <v>0</v>
      </c>
      <c r="Y24" s="166">
        <f t="shared" si="3"/>
        <v>0</v>
      </c>
    </row>
    <row r="25" spans="1:25" x14ac:dyDescent="0.2">
      <c r="A25" s="503"/>
      <c r="B25" s="642"/>
      <c r="C25" s="643"/>
      <c r="D25" s="643"/>
      <c r="E25" s="644"/>
      <c r="F25" s="645"/>
      <c r="G25" s="645"/>
      <c r="H25" s="642"/>
      <c r="I25" s="643"/>
      <c r="J25" s="643"/>
      <c r="K25" s="643"/>
      <c r="L25" s="504"/>
      <c r="M25" s="164" t="str">
        <f t="shared" ca="1" si="0"/>
        <v/>
      </c>
      <c r="N25" s="160"/>
      <c r="O25" s="163" t="str">
        <f t="shared" ca="1" si="4"/>
        <v xml:space="preserve"> </v>
      </c>
      <c r="P25" s="168"/>
      <c r="Q25" s="629"/>
      <c r="R25" s="629"/>
      <c r="S25" s="629"/>
      <c r="T25" s="629"/>
      <c r="U25" s="176"/>
      <c r="V25" s="176">
        <f t="shared" ca="1" si="1"/>
        <v>0</v>
      </c>
      <c r="W25" s="176"/>
      <c r="X25" s="205">
        <f t="shared" si="2"/>
        <v>0</v>
      </c>
      <c r="Y25" s="166">
        <f t="shared" si="3"/>
        <v>0</v>
      </c>
    </row>
    <row r="26" spans="1:25" x14ac:dyDescent="0.2">
      <c r="A26" s="503"/>
      <c r="B26" s="642"/>
      <c r="C26" s="643"/>
      <c r="D26" s="643"/>
      <c r="E26" s="644"/>
      <c r="F26" s="645"/>
      <c r="G26" s="645"/>
      <c r="H26" s="642"/>
      <c r="I26" s="643"/>
      <c r="J26" s="643"/>
      <c r="K26" s="643"/>
      <c r="L26" s="504"/>
      <c r="M26" s="164" t="str">
        <f t="shared" ca="1" si="0"/>
        <v/>
      </c>
      <c r="N26" s="160"/>
      <c r="O26" s="163" t="str">
        <f t="shared" ca="1" si="4"/>
        <v xml:space="preserve"> </v>
      </c>
      <c r="P26" s="168"/>
      <c r="Q26" s="629"/>
      <c r="R26" s="629"/>
      <c r="S26" s="629"/>
      <c r="T26" s="629"/>
      <c r="U26" s="176"/>
      <c r="V26" s="176">
        <f t="shared" ca="1" si="1"/>
        <v>0</v>
      </c>
      <c r="W26" s="176"/>
      <c r="X26" s="205">
        <f t="shared" si="2"/>
        <v>0</v>
      </c>
      <c r="Y26" s="166">
        <f t="shared" si="3"/>
        <v>0</v>
      </c>
    </row>
    <row r="27" spans="1:25" x14ac:dyDescent="0.2">
      <c r="A27" s="503"/>
      <c r="B27" s="642"/>
      <c r="C27" s="643"/>
      <c r="D27" s="643"/>
      <c r="E27" s="644"/>
      <c r="F27" s="645"/>
      <c r="G27" s="645"/>
      <c r="H27" s="642"/>
      <c r="I27" s="643"/>
      <c r="J27" s="643"/>
      <c r="K27" s="643"/>
      <c r="L27" s="504"/>
      <c r="M27" s="164" t="str">
        <f t="shared" ca="1" si="0"/>
        <v/>
      </c>
      <c r="N27" s="160"/>
      <c r="O27" s="163" t="str">
        <f t="shared" ca="1" si="4"/>
        <v xml:space="preserve"> </v>
      </c>
      <c r="P27" s="168"/>
      <c r="Q27" s="629"/>
      <c r="R27" s="629"/>
      <c r="S27" s="629"/>
      <c r="T27" s="629"/>
      <c r="U27" s="176"/>
      <c r="V27" s="176">
        <f t="shared" ca="1" si="1"/>
        <v>0</v>
      </c>
      <c r="W27" s="176"/>
      <c r="X27" s="205">
        <f t="shared" si="2"/>
        <v>0</v>
      </c>
      <c r="Y27" s="166">
        <f t="shared" si="3"/>
        <v>0</v>
      </c>
    </row>
    <row r="28" spans="1:25" x14ac:dyDescent="0.2">
      <c r="A28" s="503"/>
      <c r="B28" s="642"/>
      <c r="C28" s="643"/>
      <c r="D28" s="643"/>
      <c r="E28" s="644"/>
      <c r="F28" s="645"/>
      <c r="G28" s="645"/>
      <c r="H28" s="642"/>
      <c r="I28" s="643"/>
      <c r="J28" s="643"/>
      <c r="K28" s="643"/>
      <c r="L28" s="504"/>
      <c r="M28" s="164" t="str">
        <f t="shared" ca="1" si="0"/>
        <v/>
      </c>
      <c r="N28" s="160"/>
      <c r="O28" s="163" t="str">
        <f t="shared" ca="1" si="4"/>
        <v xml:space="preserve"> </v>
      </c>
      <c r="P28" s="168"/>
      <c r="Q28" s="629"/>
      <c r="R28" s="629"/>
      <c r="S28" s="629"/>
      <c r="T28" s="629"/>
      <c r="U28" s="176"/>
      <c r="V28" s="176">
        <f t="shared" ca="1" si="1"/>
        <v>0</v>
      </c>
      <c r="W28" s="176"/>
      <c r="X28" s="205">
        <f t="shared" si="2"/>
        <v>0</v>
      </c>
      <c r="Y28" s="166">
        <f t="shared" si="3"/>
        <v>0</v>
      </c>
    </row>
    <row r="29" spans="1:25" x14ac:dyDescent="0.2">
      <c r="A29" s="503"/>
      <c r="B29" s="642"/>
      <c r="C29" s="643"/>
      <c r="D29" s="643"/>
      <c r="E29" s="644"/>
      <c r="F29" s="645"/>
      <c r="G29" s="645"/>
      <c r="H29" s="642"/>
      <c r="I29" s="643"/>
      <c r="J29" s="643"/>
      <c r="K29" s="643"/>
      <c r="L29" s="504"/>
      <c r="M29" s="164" t="str">
        <f t="shared" ca="1" si="0"/>
        <v/>
      </c>
      <c r="N29" s="160"/>
      <c r="O29" s="163" t="str">
        <f t="shared" ca="1" si="4"/>
        <v xml:space="preserve"> </v>
      </c>
      <c r="P29" s="168"/>
      <c r="Q29" s="629"/>
      <c r="R29" s="629"/>
      <c r="S29" s="629"/>
      <c r="T29" s="629"/>
      <c r="U29" s="176"/>
      <c r="V29" s="176">
        <f t="shared" ca="1" si="1"/>
        <v>0</v>
      </c>
      <c r="W29" s="176"/>
      <c r="X29" s="205">
        <f t="shared" si="2"/>
        <v>0</v>
      </c>
      <c r="Y29" s="166">
        <f t="shared" si="3"/>
        <v>0</v>
      </c>
    </row>
    <row r="30" spans="1:25" x14ac:dyDescent="0.2">
      <c r="A30" s="503"/>
      <c r="B30" s="642"/>
      <c r="C30" s="643"/>
      <c r="D30" s="643"/>
      <c r="E30" s="644"/>
      <c r="F30" s="645"/>
      <c r="G30" s="645"/>
      <c r="H30" s="642"/>
      <c r="I30" s="643"/>
      <c r="J30" s="643"/>
      <c r="K30" s="643"/>
      <c r="L30" s="504"/>
      <c r="M30" s="164" t="str">
        <f t="shared" ca="1" si="0"/>
        <v/>
      </c>
      <c r="N30" s="160"/>
      <c r="O30" s="163" t="str">
        <f t="shared" ca="1" si="4"/>
        <v xml:space="preserve"> </v>
      </c>
      <c r="P30" s="168"/>
      <c r="Q30" s="629"/>
      <c r="R30" s="629"/>
      <c r="S30" s="629"/>
      <c r="T30" s="629"/>
      <c r="U30" s="176"/>
      <c r="V30" s="176">
        <f t="shared" ca="1" si="1"/>
        <v>0</v>
      </c>
      <c r="W30" s="176"/>
      <c r="X30" s="205">
        <f t="shared" si="2"/>
        <v>0</v>
      </c>
      <c r="Y30" s="166">
        <f t="shared" si="3"/>
        <v>0</v>
      </c>
    </row>
    <row r="31" spans="1:25" x14ac:dyDescent="0.2">
      <c r="A31" s="503"/>
      <c r="B31" s="642"/>
      <c r="C31" s="643"/>
      <c r="D31" s="643"/>
      <c r="E31" s="644"/>
      <c r="F31" s="645"/>
      <c r="G31" s="645"/>
      <c r="H31" s="642"/>
      <c r="I31" s="643"/>
      <c r="J31" s="643"/>
      <c r="K31" s="643"/>
      <c r="L31" s="504"/>
      <c r="M31" s="164" t="str">
        <f t="shared" ca="1" si="0"/>
        <v/>
      </c>
      <c r="N31" s="160"/>
      <c r="O31" s="163" t="str">
        <f t="shared" ca="1" si="4"/>
        <v xml:space="preserve"> </v>
      </c>
      <c r="P31" s="168"/>
      <c r="Q31" s="629"/>
      <c r="R31" s="629"/>
      <c r="S31" s="629"/>
      <c r="T31" s="629"/>
      <c r="U31" s="176"/>
      <c r="V31" s="176">
        <f t="shared" ca="1" si="1"/>
        <v>0</v>
      </c>
      <c r="W31" s="176"/>
      <c r="X31" s="205">
        <f t="shared" si="2"/>
        <v>0</v>
      </c>
      <c r="Y31" s="166">
        <f t="shared" si="3"/>
        <v>0</v>
      </c>
    </row>
    <row r="32" spans="1:25" x14ac:dyDescent="0.2">
      <c r="A32" s="503"/>
      <c r="B32" s="642"/>
      <c r="C32" s="643"/>
      <c r="D32" s="643"/>
      <c r="E32" s="644"/>
      <c r="F32" s="645"/>
      <c r="G32" s="645"/>
      <c r="H32" s="642"/>
      <c r="I32" s="643"/>
      <c r="J32" s="643"/>
      <c r="K32" s="643"/>
      <c r="L32" s="504"/>
      <c r="M32" s="164" t="str">
        <f t="shared" ca="1" si="0"/>
        <v/>
      </c>
      <c r="N32" s="160"/>
      <c r="O32" s="163" t="str">
        <f t="shared" ca="1" si="4"/>
        <v xml:space="preserve"> </v>
      </c>
      <c r="P32" s="168"/>
      <c r="Q32" s="629"/>
      <c r="R32" s="629"/>
      <c r="S32" s="629"/>
      <c r="T32" s="629"/>
      <c r="U32" s="176"/>
      <c r="V32" s="176">
        <f t="shared" ca="1" si="1"/>
        <v>0</v>
      </c>
      <c r="W32" s="176"/>
      <c r="X32" s="205">
        <f t="shared" si="2"/>
        <v>0</v>
      </c>
      <c r="Y32" s="166">
        <f t="shared" si="3"/>
        <v>0</v>
      </c>
    </row>
    <row r="33" spans="1:25" x14ac:dyDescent="0.2">
      <c r="A33" s="503"/>
      <c r="B33" s="642"/>
      <c r="C33" s="643"/>
      <c r="D33" s="643"/>
      <c r="E33" s="644"/>
      <c r="F33" s="645"/>
      <c r="G33" s="645"/>
      <c r="H33" s="642"/>
      <c r="I33" s="643"/>
      <c r="J33" s="643"/>
      <c r="K33" s="643"/>
      <c r="L33" s="504"/>
      <c r="M33" s="164" t="str">
        <f t="shared" ca="1" si="0"/>
        <v/>
      </c>
      <c r="N33" s="160"/>
      <c r="O33" s="163" t="str">
        <f t="shared" ca="1" si="4"/>
        <v xml:space="preserve"> </v>
      </c>
      <c r="P33" s="168"/>
      <c r="Q33" s="629"/>
      <c r="R33" s="629"/>
      <c r="S33" s="629"/>
      <c r="T33" s="629"/>
      <c r="U33" s="176"/>
      <c r="V33" s="176">
        <f t="shared" ca="1" si="1"/>
        <v>0</v>
      </c>
      <c r="W33" s="176"/>
      <c r="X33" s="205">
        <f t="shared" si="2"/>
        <v>0</v>
      </c>
      <c r="Y33" s="166">
        <f t="shared" si="3"/>
        <v>0</v>
      </c>
    </row>
    <row r="34" spans="1:25" x14ac:dyDescent="0.2">
      <c r="A34" s="503"/>
      <c r="B34" s="642"/>
      <c r="C34" s="643"/>
      <c r="D34" s="643"/>
      <c r="E34" s="644"/>
      <c r="F34" s="645"/>
      <c r="G34" s="645"/>
      <c r="H34" s="642"/>
      <c r="I34" s="643"/>
      <c r="J34" s="643"/>
      <c r="K34" s="643"/>
      <c r="L34" s="504"/>
      <c r="M34" s="164" t="str">
        <f t="shared" ca="1" si="0"/>
        <v/>
      </c>
      <c r="N34" s="160"/>
      <c r="O34" s="163" t="str">
        <f t="shared" ca="1" si="4"/>
        <v xml:space="preserve"> </v>
      </c>
      <c r="P34" s="168"/>
      <c r="Q34" s="629"/>
      <c r="R34" s="629"/>
      <c r="S34" s="629"/>
      <c r="T34" s="629"/>
      <c r="U34" s="176"/>
      <c r="V34" s="176">
        <f t="shared" ca="1" si="1"/>
        <v>0</v>
      </c>
      <c r="W34" s="176"/>
      <c r="X34" s="205">
        <f t="shared" si="2"/>
        <v>0</v>
      </c>
      <c r="Y34" s="166">
        <f t="shared" si="3"/>
        <v>0</v>
      </c>
    </row>
    <row r="35" spans="1:25" x14ac:dyDescent="0.2">
      <c r="A35" s="503"/>
      <c r="B35" s="642"/>
      <c r="C35" s="643"/>
      <c r="D35" s="643"/>
      <c r="E35" s="644"/>
      <c r="F35" s="645"/>
      <c r="G35" s="645"/>
      <c r="H35" s="642"/>
      <c r="I35" s="643"/>
      <c r="J35" s="643"/>
      <c r="K35" s="643"/>
      <c r="L35" s="504"/>
      <c r="M35" s="164" t="str">
        <f t="shared" ca="1" si="0"/>
        <v/>
      </c>
      <c r="N35" s="160"/>
      <c r="O35" s="163" t="str">
        <f t="shared" ca="1" si="4"/>
        <v xml:space="preserve"> </v>
      </c>
      <c r="P35" s="168"/>
      <c r="Q35" s="629"/>
      <c r="R35" s="629"/>
      <c r="S35" s="629"/>
      <c r="T35" s="629"/>
      <c r="U35" s="176"/>
      <c r="V35" s="176">
        <f t="shared" ca="1" si="1"/>
        <v>0</v>
      </c>
      <c r="W35" s="176"/>
      <c r="X35" s="205">
        <f t="shared" si="2"/>
        <v>0</v>
      </c>
      <c r="Y35" s="166">
        <f t="shared" si="3"/>
        <v>0</v>
      </c>
    </row>
    <row r="36" spans="1:25" x14ac:dyDescent="0.2">
      <c r="A36" s="503"/>
      <c r="B36" s="642"/>
      <c r="C36" s="643"/>
      <c r="D36" s="643"/>
      <c r="E36" s="644"/>
      <c r="F36" s="645"/>
      <c r="G36" s="645"/>
      <c r="H36" s="642"/>
      <c r="I36" s="643"/>
      <c r="J36" s="643"/>
      <c r="K36" s="643"/>
      <c r="L36" s="504"/>
      <c r="M36" s="164" t="str">
        <f t="shared" ca="1" si="0"/>
        <v/>
      </c>
      <c r="N36" s="160"/>
      <c r="O36" s="163" t="str">
        <f t="shared" ca="1" si="4"/>
        <v xml:space="preserve"> </v>
      </c>
      <c r="P36" s="168"/>
      <c r="Q36" s="629"/>
      <c r="R36" s="629"/>
      <c r="S36" s="629"/>
      <c r="T36" s="629"/>
      <c r="U36" s="176"/>
      <c r="V36" s="176">
        <f t="shared" ca="1" si="1"/>
        <v>0</v>
      </c>
      <c r="W36" s="176"/>
      <c r="X36" s="205">
        <f t="shared" si="2"/>
        <v>0</v>
      </c>
      <c r="Y36" s="166">
        <f t="shared" si="3"/>
        <v>0</v>
      </c>
    </row>
    <row r="37" spans="1:25" x14ac:dyDescent="0.2">
      <c r="A37" s="503"/>
      <c r="B37" s="642"/>
      <c r="C37" s="643"/>
      <c r="D37" s="643"/>
      <c r="E37" s="644"/>
      <c r="F37" s="645"/>
      <c r="G37" s="645"/>
      <c r="H37" s="642"/>
      <c r="I37" s="643"/>
      <c r="J37" s="643"/>
      <c r="K37" s="643"/>
      <c r="L37" s="504"/>
      <c r="M37" s="164" t="str">
        <f t="shared" ca="1" si="0"/>
        <v/>
      </c>
      <c r="N37" s="160"/>
      <c r="O37" s="163" t="str">
        <f t="shared" ca="1" si="4"/>
        <v xml:space="preserve"> </v>
      </c>
      <c r="P37" s="168"/>
      <c r="Q37" s="629"/>
      <c r="R37" s="629"/>
      <c r="S37" s="629"/>
      <c r="T37" s="629"/>
      <c r="U37" s="176"/>
      <c r="V37" s="176">
        <f t="shared" ca="1" si="1"/>
        <v>0</v>
      </c>
      <c r="W37" s="176"/>
      <c r="X37" s="205">
        <f t="shared" si="2"/>
        <v>0</v>
      </c>
      <c r="Y37" s="166">
        <f t="shared" si="3"/>
        <v>0</v>
      </c>
    </row>
    <row r="38" spans="1:25" x14ac:dyDescent="0.2">
      <c r="A38" s="503"/>
      <c r="B38" s="642"/>
      <c r="C38" s="643"/>
      <c r="D38" s="643"/>
      <c r="E38" s="644"/>
      <c r="F38" s="645"/>
      <c r="G38" s="645"/>
      <c r="H38" s="642"/>
      <c r="I38" s="643"/>
      <c r="J38" s="643"/>
      <c r="K38" s="643"/>
      <c r="L38" s="504"/>
      <c r="M38" s="164" t="str">
        <f t="shared" ca="1" si="0"/>
        <v/>
      </c>
      <c r="N38" s="160"/>
      <c r="O38" s="163" t="str">
        <f t="shared" ca="1" si="4"/>
        <v xml:space="preserve"> </v>
      </c>
      <c r="P38" s="168"/>
      <c r="Q38" s="629"/>
      <c r="R38" s="629"/>
      <c r="S38" s="629"/>
      <c r="T38" s="629"/>
      <c r="U38" s="176"/>
      <c r="V38" s="176">
        <f t="shared" ca="1" si="1"/>
        <v>0</v>
      </c>
      <c r="W38" s="176"/>
      <c r="X38" s="205">
        <f t="shared" si="2"/>
        <v>0</v>
      </c>
      <c r="Y38" s="166">
        <f t="shared" si="3"/>
        <v>0</v>
      </c>
    </row>
    <row r="39" spans="1:25" x14ac:dyDescent="0.2">
      <c r="A39" s="503"/>
      <c r="B39" s="642"/>
      <c r="C39" s="643"/>
      <c r="D39" s="643"/>
      <c r="E39" s="644"/>
      <c r="F39" s="645"/>
      <c r="G39" s="645"/>
      <c r="H39" s="642"/>
      <c r="I39" s="643"/>
      <c r="J39" s="643"/>
      <c r="K39" s="643"/>
      <c r="L39" s="504"/>
      <c r="M39" s="164" t="str">
        <f t="shared" ca="1" si="0"/>
        <v/>
      </c>
      <c r="N39" s="160"/>
      <c r="O39" s="163" t="str">
        <f t="shared" ca="1" si="4"/>
        <v xml:space="preserve"> </v>
      </c>
      <c r="P39" s="168"/>
      <c r="Q39" s="629"/>
      <c r="R39" s="629"/>
      <c r="S39" s="629"/>
      <c r="T39" s="629"/>
      <c r="U39" s="176"/>
      <c r="V39" s="176">
        <f t="shared" ca="1" si="1"/>
        <v>0</v>
      </c>
      <c r="W39" s="176"/>
      <c r="X39" s="205">
        <f t="shared" si="2"/>
        <v>0</v>
      </c>
      <c r="Y39" s="166">
        <f t="shared" si="3"/>
        <v>0</v>
      </c>
    </row>
    <row r="40" spans="1:25" x14ac:dyDescent="0.2">
      <c r="A40" s="503"/>
      <c r="B40" s="642"/>
      <c r="C40" s="643"/>
      <c r="D40" s="643"/>
      <c r="E40" s="644"/>
      <c r="F40" s="645"/>
      <c r="G40" s="645"/>
      <c r="H40" s="642"/>
      <c r="I40" s="643"/>
      <c r="J40" s="643"/>
      <c r="K40" s="643"/>
      <c r="L40" s="504"/>
      <c r="M40" s="164" t="str">
        <f t="shared" ca="1" si="0"/>
        <v/>
      </c>
      <c r="N40" s="160"/>
      <c r="O40" s="163" t="str">
        <f t="shared" ca="1" si="4"/>
        <v xml:space="preserve"> </v>
      </c>
      <c r="P40" s="168"/>
      <c r="Q40" s="629"/>
      <c r="R40" s="629"/>
      <c r="S40" s="629"/>
      <c r="T40" s="629"/>
      <c r="U40" s="176"/>
      <c r="V40" s="176">
        <f t="shared" ca="1" si="1"/>
        <v>0</v>
      </c>
      <c r="W40" s="176"/>
      <c r="X40" s="205">
        <f t="shared" si="2"/>
        <v>0</v>
      </c>
      <c r="Y40" s="166">
        <f t="shared" si="3"/>
        <v>0</v>
      </c>
    </row>
    <row r="41" spans="1:25" x14ac:dyDescent="0.2">
      <c r="A41" s="503"/>
      <c r="B41" s="642"/>
      <c r="C41" s="643"/>
      <c r="D41" s="643"/>
      <c r="E41" s="644"/>
      <c r="F41" s="645"/>
      <c r="G41" s="645"/>
      <c r="H41" s="642"/>
      <c r="I41" s="643"/>
      <c r="J41" s="643"/>
      <c r="K41" s="643"/>
      <c r="L41" s="504"/>
      <c r="M41" s="164" t="str">
        <f t="shared" ca="1" si="0"/>
        <v/>
      </c>
      <c r="N41" s="160"/>
      <c r="O41" s="163" t="str">
        <f t="shared" ca="1" si="4"/>
        <v xml:space="preserve"> </v>
      </c>
      <c r="P41" s="168"/>
      <c r="Q41" s="629"/>
      <c r="R41" s="629"/>
      <c r="S41" s="629"/>
      <c r="T41" s="629"/>
      <c r="U41" s="176"/>
      <c r="V41" s="176">
        <f t="shared" ca="1" si="1"/>
        <v>0</v>
      </c>
      <c r="W41" s="176"/>
      <c r="X41" s="205">
        <f t="shared" si="2"/>
        <v>0</v>
      </c>
      <c r="Y41" s="166">
        <f t="shared" si="3"/>
        <v>0</v>
      </c>
    </row>
    <row r="42" spans="1:25" x14ac:dyDescent="0.2">
      <c r="A42" s="503"/>
      <c r="B42" s="642"/>
      <c r="C42" s="643"/>
      <c r="D42" s="643"/>
      <c r="E42" s="644"/>
      <c r="F42" s="645"/>
      <c r="G42" s="645"/>
      <c r="H42" s="642"/>
      <c r="I42" s="643"/>
      <c r="J42" s="643"/>
      <c r="K42" s="643"/>
      <c r="L42" s="504"/>
      <c r="M42" s="164" t="str">
        <f t="shared" ca="1" si="0"/>
        <v/>
      </c>
      <c r="N42" s="160"/>
      <c r="O42" s="163" t="str">
        <f t="shared" ca="1" si="4"/>
        <v xml:space="preserve"> </v>
      </c>
      <c r="P42" s="168"/>
      <c r="Q42" s="629"/>
      <c r="R42" s="629"/>
      <c r="S42" s="629"/>
      <c r="T42" s="629"/>
      <c r="U42" s="176"/>
      <c r="V42" s="176">
        <f t="shared" ca="1" si="1"/>
        <v>0</v>
      </c>
      <c r="W42" s="176"/>
      <c r="X42" s="205">
        <f t="shared" si="2"/>
        <v>0</v>
      </c>
      <c r="Y42" s="166">
        <f t="shared" si="3"/>
        <v>0</v>
      </c>
    </row>
    <row r="43" spans="1:25" x14ac:dyDescent="0.2">
      <c r="A43" s="503"/>
      <c r="B43" s="642"/>
      <c r="C43" s="643"/>
      <c r="D43" s="643"/>
      <c r="E43" s="644"/>
      <c r="F43" s="645"/>
      <c r="G43" s="645"/>
      <c r="H43" s="642"/>
      <c r="I43" s="643"/>
      <c r="J43" s="643"/>
      <c r="K43" s="643"/>
      <c r="L43" s="504"/>
      <c r="M43" s="164" t="str">
        <f t="shared" ca="1" si="0"/>
        <v/>
      </c>
      <c r="N43" s="160"/>
      <c r="O43" s="163" t="str">
        <f t="shared" ca="1" si="4"/>
        <v xml:space="preserve"> </v>
      </c>
      <c r="P43" s="168"/>
      <c r="Q43" s="629"/>
      <c r="R43" s="629"/>
      <c r="S43" s="629"/>
      <c r="T43" s="629"/>
      <c r="U43" s="176"/>
      <c r="V43" s="176">
        <f t="shared" ca="1" si="1"/>
        <v>0</v>
      </c>
      <c r="W43" s="176"/>
      <c r="X43" s="205">
        <f t="shared" si="2"/>
        <v>0</v>
      </c>
      <c r="Y43" s="166">
        <f t="shared" si="3"/>
        <v>0</v>
      </c>
    </row>
    <row r="44" spans="1:25" x14ac:dyDescent="0.2">
      <c r="A44" s="503"/>
      <c r="B44" s="642"/>
      <c r="C44" s="643"/>
      <c r="D44" s="643"/>
      <c r="E44" s="644"/>
      <c r="F44" s="645"/>
      <c r="G44" s="645"/>
      <c r="H44" s="642"/>
      <c r="I44" s="643"/>
      <c r="J44" s="643"/>
      <c r="K44" s="643"/>
      <c r="L44" s="504"/>
      <c r="M44" s="164" t="str">
        <f t="shared" ca="1" si="0"/>
        <v/>
      </c>
      <c r="N44" s="160"/>
      <c r="O44" s="163" t="str">
        <f t="shared" ca="1" si="4"/>
        <v xml:space="preserve"> </v>
      </c>
      <c r="P44" s="168"/>
      <c r="Q44" s="629"/>
      <c r="R44" s="629"/>
      <c r="S44" s="629"/>
      <c r="T44" s="629"/>
      <c r="U44" s="176"/>
      <c r="V44" s="176">
        <f t="shared" ca="1" si="1"/>
        <v>0</v>
      </c>
      <c r="W44" s="176"/>
      <c r="X44" s="205">
        <f t="shared" si="2"/>
        <v>0</v>
      </c>
      <c r="Y44" s="166">
        <f t="shared" si="3"/>
        <v>0</v>
      </c>
    </row>
    <row r="45" spans="1:25" x14ac:dyDescent="0.2">
      <c r="A45" s="503"/>
      <c r="B45" s="642"/>
      <c r="C45" s="643"/>
      <c r="D45" s="643"/>
      <c r="E45" s="644"/>
      <c r="F45" s="645"/>
      <c r="G45" s="645"/>
      <c r="H45" s="642"/>
      <c r="I45" s="643"/>
      <c r="J45" s="643"/>
      <c r="K45" s="643"/>
      <c r="L45" s="504"/>
      <c r="M45" s="164" t="str">
        <f t="shared" ca="1" si="0"/>
        <v/>
      </c>
      <c r="N45" s="160"/>
      <c r="O45" s="163" t="str">
        <f t="shared" ca="1" si="4"/>
        <v xml:space="preserve"> </v>
      </c>
      <c r="P45" s="168"/>
      <c r="Q45" s="629"/>
      <c r="R45" s="629"/>
      <c r="S45" s="629"/>
      <c r="T45" s="629"/>
      <c r="U45" s="176"/>
      <c r="V45" s="176">
        <f t="shared" ca="1" si="1"/>
        <v>0</v>
      </c>
      <c r="W45" s="176"/>
      <c r="X45" s="205">
        <f t="shared" si="2"/>
        <v>0</v>
      </c>
      <c r="Y45" s="166">
        <f t="shared" si="3"/>
        <v>0</v>
      </c>
    </row>
    <row r="46" spans="1:25" x14ac:dyDescent="0.2">
      <c r="A46" s="503"/>
      <c r="B46" s="642"/>
      <c r="C46" s="643"/>
      <c r="D46" s="643"/>
      <c r="E46" s="644"/>
      <c r="F46" s="645"/>
      <c r="G46" s="645"/>
      <c r="H46" s="642"/>
      <c r="I46" s="643"/>
      <c r="J46" s="643"/>
      <c r="K46" s="643"/>
      <c r="L46" s="504"/>
      <c r="M46" s="164" t="str">
        <f t="shared" ca="1" si="0"/>
        <v/>
      </c>
      <c r="N46" s="160"/>
      <c r="O46" s="163" t="str">
        <f t="shared" ca="1" si="4"/>
        <v xml:space="preserve"> </v>
      </c>
      <c r="P46" s="168"/>
      <c r="Q46" s="629"/>
      <c r="R46" s="629"/>
      <c r="S46" s="629"/>
      <c r="T46" s="629"/>
      <c r="U46" s="176"/>
      <c r="V46" s="176">
        <f t="shared" ca="1" si="1"/>
        <v>0</v>
      </c>
      <c r="W46" s="176"/>
      <c r="X46" s="205">
        <f t="shared" si="2"/>
        <v>0</v>
      </c>
      <c r="Y46" s="166">
        <f t="shared" si="3"/>
        <v>0</v>
      </c>
    </row>
    <row r="47" spans="1:25" x14ac:dyDescent="0.2">
      <c r="A47" s="503"/>
      <c r="B47" s="642"/>
      <c r="C47" s="643"/>
      <c r="D47" s="643"/>
      <c r="E47" s="644"/>
      <c r="F47" s="645"/>
      <c r="G47" s="645"/>
      <c r="H47" s="642"/>
      <c r="I47" s="643"/>
      <c r="J47" s="643"/>
      <c r="K47" s="643"/>
      <c r="L47" s="504"/>
      <c r="M47" s="164" t="str">
        <f t="shared" ca="1" si="0"/>
        <v/>
      </c>
      <c r="N47" s="160"/>
      <c r="O47" s="163" t="str">
        <f t="shared" ca="1" si="4"/>
        <v xml:space="preserve"> </v>
      </c>
      <c r="P47" s="168"/>
      <c r="Q47" s="629"/>
      <c r="R47" s="629"/>
      <c r="S47" s="629"/>
      <c r="T47" s="629"/>
      <c r="U47" s="176"/>
      <c r="V47" s="176">
        <f t="shared" ca="1" si="1"/>
        <v>0</v>
      </c>
      <c r="W47" s="176"/>
      <c r="X47" s="205">
        <f t="shared" si="2"/>
        <v>0</v>
      </c>
      <c r="Y47" s="166">
        <f t="shared" si="3"/>
        <v>0</v>
      </c>
    </row>
    <row r="48" spans="1:25" x14ac:dyDescent="0.2">
      <c r="A48" s="503"/>
      <c r="B48" s="642"/>
      <c r="C48" s="643"/>
      <c r="D48" s="643"/>
      <c r="E48" s="644"/>
      <c r="F48" s="645"/>
      <c r="G48" s="645"/>
      <c r="H48" s="642"/>
      <c r="I48" s="643"/>
      <c r="J48" s="643"/>
      <c r="K48" s="643"/>
      <c r="L48" s="504"/>
      <c r="M48" s="164" t="str">
        <f t="shared" ca="1" si="0"/>
        <v/>
      </c>
      <c r="N48" s="160"/>
      <c r="O48" s="163" t="str">
        <f t="shared" ca="1" si="4"/>
        <v xml:space="preserve"> </v>
      </c>
      <c r="P48" s="168"/>
      <c r="Q48" s="629"/>
      <c r="R48" s="629"/>
      <c r="S48" s="629"/>
      <c r="T48" s="629"/>
      <c r="U48" s="176"/>
      <c r="V48" s="176">
        <f t="shared" ca="1" si="1"/>
        <v>0</v>
      </c>
      <c r="W48" s="176"/>
      <c r="X48" s="205">
        <f t="shared" si="2"/>
        <v>0</v>
      </c>
      <c r="Y48" s="166">
        <f t="shared" si="3"/>
        <v>0</v>
      </c>
    </row>
    <row r="49" spans="1:25" x14ac:dyDescent="0.2">
      <c r="A49" s="503"/>
      <c r="B49" s="642"/>
      <c r="C49" s="643"/>
      <c r="D49" s="643"/>
      <c r="E49" s="644"/>
      <c r="F49" s="645"/>
      <c r="G49" s="645"/>
      <c r="H49" s="642"/>
      <c r="I49" s="643"/>
      <c r="J49" s="643"/>
      <c r="K49" s="643"/>
      <c r="L49" s="504"/>
      <c r="M49" s="164" t="str">
        <f t="shared" ca="1" si="0"/>
        <v/>
      </c>
      <c r="N49" s="160"/>
      <c r="O49" s="163" t="str">
        <f t="shared" ca="1" si="4"/>
        <v xml:space="preserve"> </v>
      </c>
      <c r="P49" s="168"/>
      <c r="Q49" s="629"/>
      <c r="R49" s="629"/>
      <c r="S49" s="629"/>
      <c r="T49" s="629"/>
      <c r="U49" s="176"/>
      <c r="V49" s="176">
        <f t="shared" ca="1" si="1"/>
        <v>0</v>
      </c>
      <c r="W49" s="176"/>
      <c r="X49" s="205">
        <f t="shared" si="2"/>
        <v>0</v>
      </c>
      <c r="Y49" s="166">
        <f t="shared" si="3"/>
        <v>0</v>
      </c>
    </row>
    <row r="50" spans="1:25" x14ac:dyDescent="0.2">
      <c r="A50" s="503"/>
      <c r="B50" s="642"/>
      <c r="C50" s="643"/>
      <c r="D50" s="643"/>
      <c r="E50" s="644"/>
      <c r="F50" s="645"/>
      <c r="G50" s="645"/>
      <c r="H50" s="642"/>
      <c r="I50" s="643"/>
      <c r="J50" s="643"/>
      <c r="K50" s="643"/>
      <c r="L50" s="504"/>
      <c r="M50" s="164" t="str">
        <f t="shared" ca="1" si="0"/>
        <v/>
      </c>
      <c r="N50" s="160"/>
      <c r="O50" s="163" t="str">
        <f t="shared" ca="1" si="4"/>
        <v xml:space="preserve"> </v>
      </c>
      <c r="P50" s="168"/>
      <c r="Q50" s="629"/>
      <c r="R50" s="629"/>
      <c r="S50" s="629"/>
      <c r="T50" s="629"/>
      <c r="U50" s="176"/>
      <c r="V50" s="176">
        <f t="shared" ca="1" si="1"/>
        <v>0</v>
      </c>
      <c r="W50" s="176"/>
      <c r="X50" s="205">
        <f t="shared" si="2"/>
        <v>0</v>
      </c>
      <c r="Y50" s="166">
        <f t="shared" si="3"/>
        <v>0</v>
      </c>
    </row>
    <row r="51" spans="1:25" x14ac:dyDescent="0.2">
      <c r="A51" s="503"/>
      <c r="B51" s="642"/>
      <c r="C51" s="643"/>
      <c r="D51" s="643"/>
      <c r="E51" s="644"/>
      <c r="F51" s="645"/>
      <c r="G51" s="645"/>
      <c r="H51" s="642"/>
      <c r="I51" s="643"/>
      <c r="J51" s="643"/>
      <c r="K51" s="643"/>
      <c r="L51" s="504"/>
      <c r="M51" s="164" t="str">
        <f t="shared" ca="1" si="0"/>
        <v/>
      </c>
      <c r="N51" s="160"/>
      <c r="O51" s="163" t="str">
        <f t="shared" ca="1" si="4"/>
        <v xml:space="preserve"> </v>
      </c>
      <c r="P51" s="168"/>
      <c r="Q51" s="629"/>
      <c r="R51" s="629"/>
      <c r="S51" s="629"/>
      <c r="T51" s="629"/>
      <c r="U51" s="176"/>
      <c r="V51" s="176">
        <f t="shared" ca="1" si="1"/>
        <v>0</v>
      </c>
      <c r="W51" s="176"/>
      <c r="X51" s="205">
        <f t="shared" si="2"/>
        <v>0</v>
      </c>
      <c r="Y51" s="166">
        <f t="shared" si="3"/>
        <v>0</v>
      </c>
    </row>
    <row r="52" spans="1:25" x14ac:dyDescent="0.2">
      <c r="A52" s="503"/>
      <c r="B52" s="642"/>
      <c r="C52" s="643"/>
      <c r="D52" s="643"/>
      <c r="E52" s="644"/>
      <c r="F52" s="645"/>
      <c r="G52" s="645"/>
      <c r="H52" s="642"/>
      <c r="I52" s="643"/>
      <c r="J52" s="643"/>
      <c r="K52" s="643"/>
      <c r="L52" s="504"/>
      <c r="M52" s="164" t="str">
        <f t="shared" ca="1" si="0"/>
        <v/>
      </c>
      <c r="N52" s="160"/>
      <c r="O52" s="163" t="str">
        <f t="shared" ca="1" si="4"/>
        <v xml:space="preserve"> </v>
      </c>
      <c r="P52" s="168"/>
      <c r="Q52" s="629"/>
      <c r="R52" s="629"/>
      <c r="S52" s="629"/>
      <c r="T52" s="629"/>
      <c r="U52" s="176"/>
      <c r="V52" s="176">
        <f t="shared" ca="1" si="1"/>
        <v>0</v>
      </c>
      <c r="W52" s="176"/>
      <c r="X52" s="205">
        <f t="shared" si="2"/>
        <v>0</v>
      </c>
      <c r="Y52" s="166">
        <f t="shared" si="3"/>
        <v>0</v>
      </c>
    </row>
    <row r="53" spans="1:25" ht="13.5" thickBot="1" x14ac:dyDescent="0.25">
      <c r="K53" s="5" t="s">
        <v>82</v>
      </c>
      <c r="L53" s="225" t="str">
        <f>IF(Summary!O12&gt;3,SUM(L17:L52)-V53,"Please Fill in")</f>
        <v>Please Fill in</v>
      </c>
      <c r="M53" s="173"/>
      <c r="N53" s="173">
        <f>COUNTIF(N17:N52,"x")</f>
        <v>0</v>
      </c>
      <c r="P53" s="106"/>
      <c r="Q53" s="106"/>
      <c r="R53" s="106"/>
      <c r="S53" s="106"/>
      <c r="U53" s="177">
        <f>SUM(U17:U52)+X53</f>
        <v>0</v>
      </c>
      <c r="V53" s="177">
        <f ca="1">SUM(V17:V52)</f>
        <v>0</v>
      </c>
      <c r="W53" s="177">
        <f>COUNTA(W17:W52)</f>
        <v>0</v>
      </c>
      <c r="X53" s="177">
        <f>SUM(X17:X52)</f>
        <v>0</v>
      </c>
      <c r="Y53" s="206">
        <f>SUM(Y17:Y52)</f>
        <v>0</v>
      </c>
    </row>
    <row r="54" spans="1:25" ht="13.5" thickTop="1" x14ac:dyDescent="0.2">
      <c r="A54" s="675" t="str">
        <f>IF(L55&gt;0,"DON’T FORGET TO ATTACH YOUR RECEIPT DOCUMENTATION TO THE EMAIL","")</f>
        <v/>
      </c>
      <c r="B54" s="675"/>
      <c r="C54" s="675"/>
      <c r="D54" s="675"/>
      <c r="E54" s="675"/>
      <c r="F54" s="675"/>
      <c r="G54" s="675"/>
      <c r="H54" s="675"/>
      <c r="I54" s="14"/>
      <c r="K54" s="5" t="s">
        <v>100</v>
      </c>
      <c r="L54" s="225" t="str">
        <f>IF(Summary!O12&gt;3,Mileage!E60+Mileage!E120+Mileage!E180,"all the yellow")</f>
        <v>all the yellow</v>
      </c>
      <c r="M54" s="172"/>
      <c r="N54" s="172"/>
      <c r="Y54" s="163"/>
    </row>
    <row r="55" spans="1:25" x14ac:dyDescent="0.2">
      <c r="A55" s="675"/>
      <c r="B55" s="675"/>
      <c r="C55" s="675"/>
      <c r="D55" s="675"/>
      <c r="E55" s="675"/>
      <c r="F55" s="675"/>
      <c r="G55" s="675"/>
      <c r="H55" s="675"/>
      <c r="K55" s="396" t="s">
        <v>1651</v>
      </c>
      <c r="L55" s="226">
        <f>IF(FundCode&lt;&gt;500,COUNT(L17:L52),IF(Summary!O12&gt;3,SUM(O17:O52),"spaces on the"))</f>
        <v>0</v>
      </c>
      <c r="M55" s="172"/>
      <c r="N55" s="172"/>
    </row>
    <row r="56" spans="1:25" x14ac:dyDescent="0.2">
      <c r="A56" s="675"/>
      <c r="B56" s="675"/>
      <c r="C56" s="675"/>
      <c r="D56" s="675"/>
      <c r="E56" s="675"/>
      <c r="F56" s="675"/>
      <c r="G56" s="675"/>
      <c r="H56" s="675"/>
      <c r="L56" s="287" t="str">
        <f>IF(L53="please fill in","spaces on","")</f>
        <v>spaces on</v>
      </c>
      <c r="M56" s="227">
        <f>Summary!O12</f>
        <v>1</v>
      </c>
      <c r="N56" s="174"/>
    </row>
    <row r="57" spans="1:25" x14ac:dyDescent="0.2">
      <c r="A57" s="675"/>
      <c r="B57" s="675"/>
      <c r="C57" s="675"/>
      <c r="D57" s="675"/>
      <c r="E57" s="675"/>
      <c r="F57" s="675"/>
      <c r="G57" s="675"/>
      <c r="H57" s="675"/>
      <c r="K57" s="11" t="s">
        <v>47</v>
      </c>
      <c r="L57" s="228" t="str">
        <f>IF(Summary!O12&gt;3,SUM(L53:L54)+U53,"summary page")</f>
        <v>summary page</v>
      </c>
      <c r="M57" s="175"/>
      <c r="N57" s="175"/>
    </row>
  </sheetData>
  <sheetProtection algorithmName="SHA-512" hashValue="msfhPAe69a50GJQd88FrIsWeoYglyGWtcZe2/sLhWuF6/RghfUYh9NzscvFfqS11sTUyJ+IeLUj2O+8v9aBucw==" saltValue="BMZmwkkBZZYFfF7hp0erzA==" spinCount="100000" sheet="1" objects="1" scenarios="1"/>
  <mergeCells count="175">
    <mergeCell ref="X14:X15"/>
    <mergeCell ref="E51:G51"/>
    <mergeCell ref="H51:K51"/>
    <mergeCell ref="H49:K49"/>
    <mergeCell ref="A54:H57"/>
    <mergeCell ref="B47:D47"/>
    <mergeCell ref="E47:G47"/>
    <mergeCell ref="H47:K47"/>
    <mergeCell ref="B48:D48"/>
    <mergeCell ref="B52:D52"/>
    <mergeCell ref="E52:G52"/>
    <mergeCell ref="H52:K52"/>
    <mergeCell ref="B50:D50"/>
    <mergeCell ref="E50:G50"/>
    <mergeCell ref="H50:K50"/>
    <mergeCell ref="B49:D49"/>
    <mergeCell ref="E49:G49"/>
    <mergeCell ref="W14:W15"/>
    <mergeCell ref="B51:D51"/>
    <mergeCell ref="B37:D37"/>
    <mergeCell ref="E37:G37"/>
    <mergeCell ref="H37:K37"/>
    <mergeCell ref="H46:K46"/>
    <mergeCell ref="H43:K43"/>
    <mergeCell ref="B44:D44"/>
    <mergeCell ref="E44:G44"/>
    <mergeCell ref="H44:K44"/>
    <mergeCell ref="H45:K45"/>
    <mergeCell ref="E48:G48"/>
    <mergeCell ref="H48:K48"/>
    <mergeCell ref="B46:D46"/>
    <mergeCell ref="E46:G46"/>
    <mergeCell ref="H41:K41"/>
    <mergeCell ref="B42:D42"/>
    <mergeCell ref="E42:G42"/>
    <mergeCell ref="H42:K42"/>
    <mergeCell ref="B41:D41"/>
    <mergeCell ref="E41:G41"/>
    <mergeCell ref="B45:D45"/>
    <mergeCell ref="B43:D43"/>
    <mergeCell ref="E43:G43"/>
    <mergeCell ref="E45:G45"/>
    <mergeCell ref="B39:D39"/>
    <mergeCell ref="E39:G39"/>
    <mergeCell ref="H39:K39"/>
    <mergeCell ref="B40:D40"/>
    <mergeCell ref="E40:G40"/>
    <mergeCell ref="H40:K40"/>
    <mergeCell ref="B36:D36"/>
    <mergeCell ref="E36:G36"/>
    <mergeCell ref="H36:K36"/>
    <mergeCell ref="B38:D38"/>
    <mergeCell ref="E38:G38"/>
    <mergeCell ref="H38:K38"/>
    <mergeCell ref="E25:G25"/>
    <mergeCell ref="Q15:T15"/>
    <mergeCell ref="Q17:T17"/>
    <mergeCell ref="Q18:T18"/>
    <mergeCell ref="Q19:T19"/>
    <mergeCell ref="Q35:T35"/>
    <mergeCell ref="B20:D20"/>
    <mergeCell ref="E20:G20"/>
    <mergeCell ref="H20:K20"/>
    <mergeCell ref="B35:D35"/>
    <mergeCell ref="E35:G35"/>
    <mergeCell ref="B18:D18"/>
    <mergeCell ref="H34:K34"/>
    <mergeCell ref="B26:D26"/>
    <mergeCell ref="E26:G26"/>
    <mergeCell ref="H26:K26"/>
    <mergeCell ref="B27:D27"/>
    <mergeCell ref="E27:G27"/>
    <mergeCell ref="H27:K27"/>
    <mergeCell ref="B28:D28"/>
    <mergeCell ref="E28:G28"/>
    <mergeCell ref="H28:K28"/>
    <mergeCell ref="B16:D16"/>
    <mergeCell ref="H35:K35"/>
    <mergeCell ref="Q51:T51"/>
    <mergeCell ref="Q52:T52"/>
    <mergeCell ref="V14:V15"/>
    <mergeCell ref="Q46:T46"/>
    <mergeCell ref="Q47:T47"/>
    <mergeCell ref="Q48:T48"/>
    <mergeCell ref="E16:G16"/>
    <mergeCell ref="H16:K16"/>
    <mergeCell ref="B15:D15"/>
    <mergeCell ref="E17:G17"/>
    <mergeCell ref="E19:G19"/>
    <mergeCell ref="E18:G18"/>
    <mergeCell ref="H15:K15"/>
    <mergeCell ref="H18:K18"/>
    <mergeCell ref="B14:D14"/>
    <mergeCell ref="E15:G15"/>
    <mergeCell ref="B17:D17"/>
    <mergeCell ref="H19:K19"/>
    <mergeCell ref="E21:G21"/>
    <mergeCell ref="H21:K21"/>
    <mergeCell ref="B31:D31"/>
    <mergeCell ref="E31:G31"/>
    <mergeCell ref="H31:K31"/>
    <mergeCell ref="B32:D32"/>
    <mergeCell ref="Q20:T20"/>
    <mergeCell ref="Q21:T21"/>
    <mergeCell ref="H29:K29"/>
    <mergeCell ref="H30:K30"/>
    <mergeCell ref="H24:K24"/>
    <mergeCell ref="H25:K25"/>
    <mergeCell ref="B34:D34"/>
    <mergeCell ref="E34:G34"/>
    <mergeCell ref="Y14:Y15"/>
    <mergeCell ref="U14:U15"/>
    <mergeCell ref="P14:T14"/>
    <mergeCell ref="B19:D19"/>
    <mergeCell ref="E32:G32"/>
    <mergeCell ref="H32:K32"/>
    <mergeCell ref="B33:D33"/>
    <mergeCell ref="E33:G33"/>
    <mergeCell ref="H33:K33"/>
    <mergeCell ref="B29:D29"/>
    <mergeCell ref="E29:G29"/>
    <mergeCell ref="B30:D30"/>
    <mergeCell ref="E30:G30"/>
    <mergeCell ref="B24:D24"/>
    <mergeCell ref="E24:G24"/>
    <mergeCell ref="B25:D25"/>
    <mergeCell ref="Q49:T49"/>
    <mergeCell ref="Q50:T50"/>
    <mergeCell ref="Q41:T41"/>
    <mergeCell ref="Q42:T42"/>
    <mergeCell ref="Q43:T43"/>
    <mergeCell ref="Q44:T44"/>
    <mergeCell ref="Q45:T45"/>
    <mergeCell ref="Q31:T31"/>
    <mergeCell ref="Q32:T32"/>
    <mergeCell ref="Q33:T33"/>
    <mergeCell ref="Q34:T34"/>
    <mergeCell ref="Q36:T36"/>
    <mergeCell ref="Q37:T37"/>
    <mergeCell ref="Q38:T38"/>
    <mergeCell ref="Q39:T39"/>
    <mergeCell ref="Q40:T40"/>
    <mergeCell ref="A7:E7"/>
    <mergeCell ref="A8:E12"/>
    <mergeCell ref="A1:E1"/>
    <mergeCell ref="B22:D22"/>
    <mergeCell ref="E22:G22"/>
    <mergeCell ref="H22:K22"/>
    <mergeCell ref="B23:D23"/>
    <mergeCell ref="E23:G23"/>
    <mergeCell ref="H23:K23"/>
    <mergeCell ref="G10:I10"/>
    <mergeCell ref="G11:I11"/>
    <mergeCell ref="G12:I12"/>
    <mergeCell ref="J7:L7"/>
    <mergeCell ref="J8:L8"/>
    <mergeCell ref="J9:L9"/>
    <mergeCell ref="J10:L10"/>
    <mergeCell ref="J11:L11"/>
    <mergeCell ref="J12:L12"/>
    <mergeCell ref="G7:I7"/>
    <mergeCell ref="G8:I8"/>
    <mergeCell ref="G9:I9"/>
    <mergeCell ref="H14:K14"/>
    <mergeCell ref="H17:K17"/>
    <mergeCell ref="B21:D21"/>
    <mergeCell ref="Q30:T30"/>
    <mergeCell ref="Q22:T22"/>
    <mergeCell ref="Q23:T23"/>
    <mergeCell ref="Q24:T24"/>
    <mergeCell ref="Q25:T25"/>
    <mergeCell ref="Q26:T26"/>
    <mergeCell ref="Q27:T27"/>
    <mergeCell ref="Q28:T28"/>
    <mergeCell ref="Q29:T29"/>
  </mergeCells>
  <phoneticPr fontId="0" type="noConversion"/>
  <conditionalFormatting sqref="A17">
    <cfRule type="expression" dxfId="293" priority="33">
      <formula>AND($M17="disallow",$W17="")</formula>
    </cfRule>
  </conditionalFormatting>
  <conditionalFormatting sqref="B17:D17">
    <cfRule type="expression" dxfId="292" priority="32">
      <formula>AND($M17="disallow",$W17="")</formula>
    </cfRule>
  </conditionalFormatting>
  <conditionalFormatting sqref="E17:G17">
    <cfRule type="expression" dxfId="291" priority="31">
      <formula>AND($M17="disallow",$W17="")</formula>
    </cfRule>
  </conditionalFormatting>
  <conditionalFormatting sqref="H17:K17">
    <cfRule type="expression" dxfId="290" priority="30">
      <formula>AND($M$17="disallow",$W17="")</formula>
    </cfRule>
  </conditionalFormatting>
  <conditionalFormatting sqref="L17">
    <cfRule type="expression" dxfId="289" priority="29">
      <formula>AND($M17="disallow",$W17="")</formula>
    </cfRule>
  </conditionalFormatting>
  <conditionalFormatting sqref="L53:L55 L57">
    <cfRule type="expression" dxfId="288" priority="77">
      <formula>$M$56&lt;4</formula>
    </cfRule>
  </conditionalFormatting>
  <conditionalFormatting sqref="G5:J5">
    <cfRule type="expression" dxfId="287" priority="8">
      <formula>$M$15&gt;0</formula>
    </cfRule>
  </conditionalFormatting>
  <conditionalFormatting sqref="A17:L17">
    <cfRule type="expression" dxfId="286" priority="7">
      <formula>$M17="disallow"</formula>
    </cfRule>
  </conditionalFormatting>
  <conditionalFormatting sqref="A18:A52">
    <cfRule type="expression" dxfId="285" priority="6">
      <formula>AND($M18="disallow",$W18="")</formula>
    </cfRule>
  </conditionalFormatting>
  <conditionalFormatting sqref="B18:D52">
    <cfRule type="expression" dxfId="284" priority="5">
      <formula>AND($M18="disallow",$W18="")</formula>
    </cfRule>
  </conditionalFormatting>
  <conditionalFormatting sqref="E18:G52">
    <cfRule type="expression" dxfId="283" priority="4">
      <formula>AND($M18="disallow",$W18="")</formula>
    </cfRule>
  </conditionalFormatting>
  <conditionalFormatting sqref="H18:K52">
    <cfRule type="expression" dxfId="282" priority="3">
      <formula>AND($M$17="disallow",$W18="")</formula>
    </cfRule>
  </conditionalFormatting>
  <conditionalFormatting sqref="L18:L52">
    <cfRule type="expression" dxfId="281" priority="2">
      <formula>AND($M18="disallow",$W18="")</formula>
    </cfRule>
  </conditionalFormatting>
  <conditionalFormatting sqref="A18:L52">
    <cfRule type="expression" dxfId="280" priority="1">
      <formula>$M18="disallow"</formula>
    </cfRule>
  </conditionalFormatting>
  <dataValidations count="1">
    <dataValidation type="date" operator="greaterThan" allowBlank="1" showInputMessage="1" showErrorMessage="1" promptTitle="date format" prompt="Please use date format mm/dd/yy" sqref="A17:A52" xr:uid="{00000000-0002-0000-0400-000000000000}">
      <formula1>40909</formula1>
    </dataValidation>
  </dataValidations>
  <pageMargins left="0.75" right="0.75" top="1" bottom="1" header="0.5" footer="0.5"/>
  <pageSetup scale="60" orientation="landscape" r:id="rId1"/>
  <headerFooter alignWithMargins="0">
    <oddHeader xml:space="preserve">&amp;L&amp;"Arial,Bold"&amp;22Transportation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92D050"/>
  </sheetPr>
  <dimension ref="A1:AB180"/>
  <sheetViews>
    <sheetView view="pageBreakPreview" zoomScale="75" zoomScaleNormal="100" zoomScaleSheetLayoutView="75" workbookViewId="0">
      <selection activeCell="A12" sqref="A12"/>
    </sheetView>
  </sheetViews>
  <sheetFormatPr defaultRowHeight="15" outlineLevelCol="1" x14ac:dyDescent="0.2"/>
  <cols>
    <col min="1" max="1" width="13" style="115" customWidth="1"/>
    <col min="2" max="2" width="26.42578125" style="288" customWidth="1"/>
    <col min="3" max="3" width="29.140625" style="288" customWidth="1"/>
    <col min="4" max="4" width="38.28515625" style="6" customWidth="1"/>
    <col min="5" max="5" width="17" style="6" customWidth="1"/>
    <col min="6" max="6" width="6.7109375" style="143" customWidth="1"/>
    <col min="7" max="7" width="11" style="143" bestFit="1" customWidth="1"/>
    <col min="8" max="8" width="3.140625" style="143" customWidth="1"/>
    <col min="9" max="9" width="7.28515625" style="106" customWidth="1"/>
    <col min="10" max="10" width="9.5703125" style="106" bestFit="1" customWidth="1"/>
    <col min="11" max="11" width="10.7109375" style="106" customWidth="1"/>
    <col min="12" max="12" width="12.140625" style="106" bestFit="1" customWidth="1"/>
    <col min="13" max="13" width="2.5703125" style="143" customWidth="1"/>
    <col min="14" max="14" width="9.85546875" style="143" bestFit="1" customWidth="1"/>
    <col min="15" max="15" width="9.140625" style="143" customWidth="1"/>
    <col min="18" max="18" width="7.42578125" customWidth="1"/>
    <col min="19" max="19" width="9" bestFit="1" customWidth="1"/>
    <col min="23" max="27" width="0" hidden="1" customWidth="1" outlineLevel="1"/>
    <col min="28" max="28" width="9.140625" collapsed="1"/>
  </cols>
  <sheetData>
    <row r="1" spans="1:27" x14ac:dyDescent="0.2">
      <c r="D1" s="7" t="s">
        <v>35</v>
      </c>
      <c r="E1" s="80" t="str">
        <f>Transportation!K1</f>
        <v>Gordy Decker</v>
      </c>
      <c r="F1" s="142"/>
      <c r="G1" s="142"/>
    </row>
    <row r="2" spans="1:27" x14ac:dyDescent="0.2">
      <c r="B2" s="289" t="s">
        <v>128</v>
      </c>
      <c r="C2" s="289" t="s">
        <v>128</v>
      </c>
      <c r="D2" s="7" t="s">
        <v>109</v>
      </c>
      <c r="E2" s="81">
        <f>Transportation!K2</f>
        <v>0</v>
      </c>
      <c r="F2" s="142"/>
      <c r="G2" s="142"/>
    </row>
    <row r="3" spans="1:27" x14ac:dyDescent="0.2">
      <c r="B3" s="290" t="s">
        <v>115</v>
      </c>
      <c r="C3" s="297"/>
      <c r="D3" s="7" t="s">
        <v>108</v>
      </c>
      <c r="E3" s="139"/>
      <c r="F3" s="142"/>
      <c r="G3" s="142"/>
    </row>
    <row r="4" spans="1:27" x14ac:dyDescent="0.2">
      <c r="B4" s="300" t="s">
        <v>887</v>
      </c>
      <c r="C4" s="298"/>
      <c r="D4" s="7" t="s">
        <v>1036</v>
      </c>
      <c r="E4" s="328"/>
    </row>
    <row r="5" spans="1:27" x14ac:dyDescent="0.2">
      <c r="B5" s="297"/>
      <c r="C5" s="298"/>
    </row>
    <row r="6" spans="1:27" x14ac:dyDescent="0.2">
      <c r="B6" s="298"/>
      <c r="C6" s="298"/>
      <c r="E6" s="114" t="str">
        <f>IF(_xlfn.IFNA(VLOOKUP(E2,Z11:AA40,2,),0)=0,"","IRS Commuting Guidelines Verified")</f>
        <v/>
      </c>
      <c r="K6" s="106" t="s">
        <v>123</v>
      </c>
      <c r="L6" s="106" t="s">
        <v>124</v>
      </c>
    </row>
    <row r="7" spans="1:27" x14ac:dyDescent="0.2">
      <c r="B7" s="299"/>
      <c r="C7" s="299"/>
      <c r="D7" s="114" t="str">
        <f>IF(H58+H118+H178&gt;0,"PY=Prior Year Mileage Rate","")</f>
        <v/>
      </c>
      <c r="K7" s="147">
        <f>K8</f>
        <v>43465</v>
      </c>
      <c r="L7" s="147">
        <f>L8</f>
        <v>43466</v>
      </c>
    </row>
    <row r="8" spans="1:27" x14ac:dyDescent="0.2">
      <c r="C8" s="293"/>
      <c r="K8" s="148">
        <v>43465</v>
      </c>
      <c r="L8" s="148">
        <v>43466</v>
      </c>
    </row>
    <row r="9" spans="1:27" x14ac:dyDescent="0.2">
      <c r="A9" s="679" t="s">
        <v>28</v>
      </c>
      <c r="B9" s="681" t="s">
        <v>129</v>
      </c>
      <c r="C9" s="682"/>
      <c r="D9" s="683" t="s">
        <v>132</v>
      </c>
      <c r="E9" s="683" t="s">
        <v>34</v>
      </c>
      <c r="K9" s="150">
        <v>0.54500000000000004</v>
      </c>
      <c r="L9" s="150">
        <v>0.57999999999999996</v>
      </c>
      <c r="M9" s="144"/>
      <c r="N9" s="144"/>
    </row>
    <row r="10" spans="1:27" ht="25.5" customHeight="1" x14ac:dyDescent="0.2">
      <c r="A10" s="680"/>
      <c r="B10" s="294" t="s">
        <v>32</v>
      </c>
      <c r="C10" s="294" t="s">
        <v>33</v>
      </c>
      <c r="D10" s="684"/>
      <c r="E10" s="684"/>
      <c r="L10" s="676" t="s">
        <v>186</v>
      </c>
      <c r="M10" s="677"/>
      <c r="N10" s="677"/>
      <c r="O10" s="677"/>
      <c r="P10" s="678"/>
      <c r="Q10" s="183" t="s">
        <v>288</v>
      </c>
      <c r="R10" s="183" t="s">
        <v>508</v>
      </c>
      <c r="S10" s="183"/>
      <c r="T10" s="665" t="s">
        <v>664</v>
      </c>
      <c r="X10">
        <f>_xlfn.IFNA(VLOOKUP(E2,Z11:AA40,2,),0)</f>
        <v>0</v>
      </c>
    </row>
    <row r="11" spans="1:27" ht="15" customHeight="1" x14ac:dyDescent="0.2">
      <c r="A11" s="116" t="s">
        <v>104</v>
      </c>
      <c r="B11" s="295" t="s">
        <v>130</v>
      </c>
      <c r="C11" s="295" t="s">
        <v>131</v>
      </c>
      <c r="D11" s="685"/>
      <c r="E11" s="685"/>
      <c r="I11" s="149" t="s">
        <v>125</v>
      </c>
      <c r="J11" s="149" t="s">
        <v>126</v>
      </c>
      <c r="L11" s="167" t="s">
        <v>286</v>
      </c>
      <c r="M11" s="184" t="s">
        <v>287</v>
      </c>
      <c r="N11" s="185"/>
      <c r="O11" s="185"/>
      <c r="P11" s="186"/>
      <c r="Q11" s="187"/>
      <c r="R11" s="187"/>
      <c r="S11" s="187"/>
      <c r="T11" s="666"/>
      <c r="Z11">
        <v>5136</v>
      </c>
      <c r="AA11">
        <v>1</v>
      </c>
    </row>
    <row r="12" spans="1:27" x14ac:dyDescent="0.2">
      <c r="A12" s="500"/>
      <c r="B12" s="501"/>
      <c r="C12" s="501"/>
      <c r="D12" s="500"/>
      <c r="E12" s="502"/>
      <c r="F12" s="165" t="str">
        <f t="shared" ref="F12:F57" ca="1" si="0">IF(A12&gt;0,IF(submit_date&gt;0,IF(submit_date-A12&gt;60,"disallow",""),IF(TODAY()-A12&gt;60,"disallow","")),"")</f>
        <v/>
      </c>
      <c r="G12" s="210" t="str">
        <f>IF(OR(C12="home",$X$10=1,C12=""),"",IF(ROUNDDOWN(COUNTIF($C$12:C12,C12)/IF((A12-$A$12)&lt;7,(A12+1-$A$12)/7,(A12-$A$12)/7),0)&gt;3,"Poss Commute",""))</f>
        <v/>
      </c>
      <c r="H12" s="145" t="str">
        <f>IF(A12=0,"",IF($A$12&lt;new_rate_date,"PR",IF(A12&lt;new_rate_date,"PR","")))</f>
        <v/>
      </c>
      <c r="I12" s="106">
        <f>IF($A$12&lt;new_rate_date,0,IF(H12="PR",(E12*old_rate)-(E12*new_rate),0))</f>
        <v>0</v>
      </c>
      <c r="J12" s="106">
        <f>IF($A$12&lt;new_rate_date,IF(A12&lt;new_rate_date,0,IF(H12="PR",(E12*new_rate)-(E12*old_rate),0)),0)</f>
        <v>0</v>
      </c>
      <c r="K12" s="163">
        <f ca="1">IF(AND(F12="disallow",R12=0),E12,0)</f>
        <v>0</v>
      </c>
      <c r="L12" s="168"/>
      <c r="M12" s="629"/>
      <c r="N12" s="629"/>
      <c r="O12" s="629"/>
      <c r="P12" s="629"/>
      <c r="Q12" s="176"/>
      <c r="R12" s="176"/>
      <c r="S12" s="176">
        <f>IF(R12&gt;0,-Q12,0)</f>
        <v>0</v>
      </c>
      <c r="T12" s="166">
        <f t="shared" ref="T12:T57" si="1">IF(AND(A12&lt;Fiscal_Start_Date,submit_date-A12&lt;90,submit_date&gt;=Fiscal_Start_Date),E12,0)</f>
        <v>0</v>
      </c>
      <c r="U12" s="209"/>
      <c r="Z12">
        <v>5207</v>
      </c>
      <c r="AA12">
        <v>1</v>
      </c>
    </row>
    <row r="13" spans="1:27" x14ac:dyDescent="0.2">
      <c r="A13" s="500"/>
      <c r="B13" s="501"/>
      <c r="C13" s="501"/>
      <c r="D13" s="500"/>
      <c r="E13" s="502"/>
      <c r="F13" s="165" t="str">
        <f t="shared" ca="1" si="0"/>
        <v/>
      </c>
      <c r="G13" s="210" t="str">
        <f>IF(OR(C13="home",$X$10=1,C13=""),"",IF(ROUNDDOWN(COUNTIF($C$12:C13,C13)/IF((A13-$A$12)&lt;7,(A13+1-$A$12)/7,(A13-$A$12)/7),0)&gt;3,"Poss Commute",""))</f>
        <v/>
      </c>
      <c r="H13" s="145" t="str">
        <f t="shared" ref="H13:H57" si="2">IF(A13=0,"",IF($A$12&lt;new_rate_date,"PR",IF(A13&lt;new_rate_date,"PR","")))</f>
        <v/>
      </c>
      <c r="I13" s="106">
        <f t="shared" ref="I13:I57" si="3">IF($A$12&lt;new_rate_date,0,IF(H13="PR",(E13*old_rate)-(E13*new_rate),0))</f>
        <v>0</v>
      </c>
      <c r="J13" s="106">
        <f t="shared" ref="J13:J57" si="4">IF($A$12&lt;new_rate_date,IF(A13&lt;new_rate_date,0,IF(H13="PR",(E13*new_rate)-(E13*old_rate),0)),0)</f>
        <v>0</v>
      </c>
      <c r="K13" s="163">
        <f t="shared" ref="K13:K57" ca="1" si="5">IF(AND(F13="disallow",R13=0),E13,0)</f>
        <v>0</v>
      </c>
      <c r="L13" s="168"/>
      <c r="M13" s="629"/>
      <c r="N13" s="629"/>
      <c r="O13" s="629"/>
      <c r="P13" s="629"/>
      <c r="Q13" s="176"/>
      <c r="R13" s="176"/>
      <c r="S13" s="176">
        <f>IF(R13&gt;0,-Q13,0)</f>
        <v>0</v>
      </c>
      <c r="T13" s="166">
        <f t="shared" si="1"/>
        <v>0</v>
      </c>
      <c r="U13" s="209"/>
      <c r="Z13">
        <v>5214</v>
      </c>
      <c r="AA13">
        <v>1</v>
      </c>
    </row>
    <row r="14" spans="1:27" x14ac:dyDescent="0.2">
      <c r="A14" s="500"/>
      <c r="B14" s="501"/>
      <c r="C14" s="501"/>
      <c r="D14" s="500"/>
      <c r="E14" s="502"/>
      <c r="F14" s="165" t="str">
        <f t="shared" ca="1" si="0"/>
        <v/>
      </c>
      <c r="G14" s="210" t="str">
        <f>IF(OR(C14="home",$X$10=1,C14=""),"",IF(ROUNDDOWN(COUNTIF($C$12:C14,C14)/IF((A14-$A$12)&lt;7,(A14+1-$A$12)/7,(A14-$A$12)/7),0)&gt;3,"Poss Commute",""))</f>
        <v/>
      </c>
      <c r="H14" s="145" t="str">
        <f t="shared" si="2"/>
        <v/>
      </c>
      <c r="I14" s="106">
        <f t="shared" si="3"/>
        <v>0</v>
      </c>
      <c r="J14" s="106">
        <f t="shared" si="4"/>
        <v>0</v>
      </c>
      <c r="K14" s="163">
        <f t="shared" ca="1" si="5"/>
        <v>0</v>
      </c>
      <c r="L14" s="168"/>
      <c r="M14" s="629"/>
      <c r="N14" s="629"/>
      <c r="O14" s="629"/>
      <c r="P14" s="629"/>
      <c r="Q14" s="176"/>
      <c r="R14" s="176"/>
      <c r="S14" s="176">
        <f t="shared" ref="S14:S57" si="6">IF(R14&gt;0,-Q14,0)</f>
        <v>0</v>
      </c>
      <c r="T14" s="166">
        <f t="shared" si="1"/>
        <v>0</v>
      </c>
      <c r="U14" s="209"/>
      <c r="Z14">
        <v>5311</v>
      </c>
      <c r="AA14">
        <v>1</v>
      </c>
    </row>
    <row r="15" spans="1:27" x14ac:dyDescent="0.2">
      <c r="A15" s="500"/>
      <c r="B15" s="501"/>
      <c r="C15" s="501"/>
      <c r="D15" s="500"/>
      <c r="E15" s="502"/>
      <c r="F15" s="165" t="str">
        <f t="shared" ca="1" si="0"/>
        <v/>
      </c>
      <c r="G15" s="210" t="str">
        <f>IF(OR(C15="home",$X$10=1,C15=""),"",IF(ROUNDDOWN(COUNTIF($C$12:C15,C15)/IF((A15-$A$12)&lt;7,(A15+1-$A$12)/7,(A15-$A$12)/7),0)&gt;3,"Poss Commute",""))</f>
        <v/>
      </c>
      <c r="H15" s="145" t="str">
        <f t="shared" si="2"/>
        <v/>
      </c>
      <c r="I15" s="106">
        <f t="shared" si="3"/>
        <v>0</v>
      </c>
      <c r="J15" s="106">
        <f t="shared" si="4"/>
        <v>0</v>
      </c>
      <c r="K15" s="163">
        <f t="shared" ca="1" si="5"/>
        <v>0</v>
      </c>
      <c r="L15" s="168"/>
      <c r="M15" s="629"/>
      <c r="N15" s="629"/>
      <c r="O15" s="629"/>
      <c r="P15" s="629"/>
      <c r="Q15" s="176"/>
      <c r="R15" s="176"/>
      <c r="S15" s="176">
        <f t="shared" si="6"/>
        <v>0</v>
      </c>
      <c r="T15" s="166">
        <f t="shared" si="1"/>
        <v>0</v>
      </c>
      <c r="U15" s="209"/>
      <c r="Z15">
        <v>5317</v>
      </c>
      <c r="AA15">
        <v>1</v>
      </c>
    </row>
    <row r="16" spans="1:27" x14ac:dyDescent="0.2">
      <c r="A16" s="500"/>
      <c r="B16" s="501"/>
      <c r="C16" s="501"/>
      <c r="D16" s="500"/>
      <c r="E16" s="502"/>
      <c r="F16" s="165" t="str">
        <f t="shared" ca="1" si="0"/>
        <v/>
      </c>
      <c r="G16" s="210" t="str">
        <f>IF(OR(C16="home",$X$10=1,C16=""),"",IF(ROUNDDOWN(COUNTIF($C$12:C16,C16)/IF((A16-$A$12)&lt;7,(A16+1-$A$12)/7,(A16-$A$12)/7),0)&gt;3,"Poss Commute",""))</f>
        <v/>
      </c>
      <c r="H16" s="145" t="str">
        <f t="shared" si="2"/>
        <v/>
      </c>
      <c r="I16" s="106">
        <f t="shared" si="3"/>
        <v>0</v>
      </c>
      <c r="J16" s="106">
        <f t="shared" si="4"/>
        <v>0</v>
      </c>
      <c r="K16" s="163">
        <f t="shared" ca="1" si="5"/>
        <v>0</v>
      </c>
      <c r="L16" s="168"/>
      <c r="M16" s="629"/>
      <c r="N16" s="629"/>
      <c r="O16" s="629"/>
      <c r="P16" s="629"/>
      <c r="Q16" s="176"/>
      <c r="R16" s="176"/>
      <c r="S16" s="176">
        <f t="shared" si="6"/>
        <v>0</v>
      </c>
      <c r="T16" s="166">
        <f t="shared" si="1"/>
        <v>0</v>
      </c>
      <c r="U16" s="209"/>
      <c r="W16" s="211">
        <f>IF((A17-$A$12)&lt;7,(A17+1-$A$12),(A17-$A$12)/7)</f>
        <v>1</v>
      </c>
      <c r="Z16">
        <v>5362</v>
      </c>
      <c r="AA16">
        <v>1</v>
      </c>
    </row>
    <row r="17" spans="1:27" x14ac:dyDescent="0.2">
      <c r="A17" s="500"/>
      <c r="B17" s="501"/>
      <c r="C17" s="501"/>
      <c r="D17" s="500"/>
      <c r="E17" s="502"/>
      <c r="F17" s="165" t="str">
        <f t="shared" ca="1" si="0"/>
        <v/>
      </c>
      <c r="G17" s="210" t="str">
        <f>IF(OR(C17="home",$X$10=1,C17=""),"",IF(ROUNDDOWN(COUNTIF($C$12:C17,C17)/IF((A17-$A$12)&lt;7,(A17+1-$A$12)/7,(A17-$A$12)/7),0)&gt;3,"Poss Commute",""))</f>
        <v/>
      </c>
      <c r="H17" s="145" t="str">
        <f t="shared" si="2"/>
        <v/>
      </c>
      <c r="I17" s="106">
        <f t="shared" si="3"/>
        <v>0</v>
      </c>
      <c r="J17" s="106">
        <f t="shared" si="4"/>
        <v>0</v>
      </c>
      <c r="K17" s="163">
        <f t="shared" ca="1" si="5"/>
        <v>0</v>
      </c>
      <c r="L17" s="168"/>
      <c r="M17" s="629"/>
      <c r="N17" s="629"/>
      <c r="O17" s="629"/>
      <c r="P17" s="629"/>
      <c r="Q17" s="176"/>
      <c r="R17" s="176"/>
      <c r="S17" s="176">
        <f t="shared" si="6"/>
        <v>0</v>
      </c>
      <c r="T17" s="166">
        <f t="shared" si="1"/>
        <v>0</v>
      </c>
      <c r="U17" s="209"/>
      <c r="Z17">
        <v>5364</v>
      </c>
      <c r="AA17">
        <v>1</v>
      </c>
    </row>
    <row r="18" spans="1:27" x14ac:dyDescent="0.2">
      <c r="A18" s="500"/>
      <c r="B18" s="501"/>
      <c r="C18" s="501"/>
      <c r="D18" s="500"/>
      <c r="E18" s="502"/>
      <c r="F18" s="165" t="str">
        <f t="shared" ca="1" si="0"/>
        <v/>
      </c>
      <c r="G18" s="210" t="str">
        <f>IF(OR(C18="home",$X$10=1,C18=""),"",IF(ROUNDDOWN(COUNTIF($C$12:C18,C18)/IF((A18-$A$12)&lt;7,(A18+1-$A$12)/7,(A18-$A$12)/7),0)&gt;3,"Poss Commute",""))</f>
        <v/>
      </c>
      <c r="H18" s="145" t="str">
        <f t="shared" si="2"/>
        <v/>
      </c>
      <c r="I18" s="106">
        <f t="shared" si="3"/>
        <v>0</v>
      </c>
      <c r="J18" s="106">
        <f t="shared" si="4"/>
        <v>0</v>
      </c>
      <c r="K18" s="163">
        <f t="shared" ca="1" si="5"/>
        <v>0</v>
      </c>
      <c r="L18" s="168"/>
      <c r="M18" s="629"/>
      <c r="N18" s="629"/>
      <c r="O18" s="629"/>
      <c r="P18" s="629"/>
      <c r="Q18" s="176"/>
      <c r="R18" s="176"/>
      <c r="S18" s="176">
        <f t="shared" si="6"/>
        <v>0</v>
      </c>
      <c r="T18" s="166">
        <f t="shared" si="1"/>
        <v>0</v>
      </c>
      <c r="U18" s="209"/>
      <c r="W18">
        <f>ROUNDDOWN(COUNTIF($C$12:C17,C17)/W16,0)</f>
        <v>0</v>
      </c>
      <c r="Z18">
        <v>5383</v>
      </c>
      <c r="AA18">
        <v>1</v>
      </c>
    </row>
    <row r="19" spans="1:27" x14ac:dyDescent="0.2">
      <c r="A19" s="500"/>
      <c r="B19" s="501"/>
      <c r="C19" s="501"/>
      <c r="D19" s="500"/>
      <c r="E19" s="502"/>
      <c r="F19" s="165" t="str">
        <f t="shared" ca="1" si="0"/>
        <v/>
      </c>
      <c r="G19" s="210" t="str">
        <f>IF(OR(C19="home",$X$10=1,C19=""),"",IF(ROUNDDOWN(COUNTIF($C$12:C19,C19)/IF((A19-$A$12)&lt;7,(A19+1-$A$12)/7,(A19-$A$12)/7),0)&gt;3,"Poss Commute",""))</f>
        <v/>
      </c>
      <c r="H19" s="145" t="str">
        <f t="shared" si="2"/>
        <v/>
      </c>
      <c r="I19" s="106">
        <f t="shared" si="3"/>
        <v>0</v>
      </c>
      <c r="J19" s="106">
        <f t="shared" si="4"/>
        <v>0</v>
      </c>
      <c r="K19" s="163">
        <f t="shared" ca="1" si="5"/>
        <v>0</v>
      </c>
      <c r="L19" s="168"/>
      <c r="M19" s="629"/>
      <c r="N19" s="629"/>
      <c r="O19" s="629"/>
      <c r="P19" s="629"/>
      <c r="Q19" s="176"/>
      <c r="R19" s="176"/>
      <c r="S19" s="176">
        <f t="shared" si="6"/>
        <v>0</v>
      </c>
      <c r="T19" s="166">
        <f t="shared" si="1"/>
        <v>0</v>
      </c>
      <c r="U19" s="209"/>
      <c r="Z19">
        <v>5386</v>
      </c>
      <c r="AA19">
        <v>1</v>
      </c>
    </row>
    <row r="20" spans="1:27" x14ac:dyDescent="0.2">
      <c r="A20" s="500"/>
      <c r="B20" s="501"/>
      <c r="C20" s="501"/>
      <c r="D20" s="500"/>
      <c r="E20" s="502"/>
      <c r="F20" s="165" t="str">
        <f t="shared" ca="1" si="0"/>
        <v/>
      </c>
      <c r="G20" s="210" t="str">
        <f>IF(OR(C20="home",$X$10=1,C20=""),"",IF(ROUNDDOWN(COUNTIF($C$12:C20,C20)/IF((A20-$A$12)&lt;7,(A20+1-$A$12)/7,(A20-$A$12)/7),0)&gt;3,"Poss Commute",""))</f>
        <v/>
      </c>
      <c r="H20" s="145" t="str">
        <f t="shared" si="2"/>
        <v/>
      </c>
      <c r="I20" s="106">
        <f t="shared" si="3"/>
        <v>0</v>
      </c>
      <c r="J20" s="106">
        <f t="shared" si="4"/>
        <v>0</v>
      </c>
      <c r="K20" s="163">
        <f t="shared" ca="1" si="5"/>
        <v>0</v>
      </c>
      <c r="L20" s="168"/>
      <c r="M20" s="629"/>
      <c r="N20" s="629"/>
      <c r="O20" s="629"/>
      <c r="P20" s="629"/>
      <c r="Q20" s="176"/>
      <c r="R20" s="176"/>
      <c r="S20" s="176">
        <f t="shared" si="6"/>
        <v>0</v>
      </c>
      <c r="T20" s="166">
        <f t="shared" si="1"/>
        <v>0</v>
      </c>
      <c r="U20" s="209"/>
      <c r="Z20">
        <v>5394</v>
      </c>
      <c r="AA20">
        <v>1</v>
      </c>
    </row>
    <row r="21" spans="1:27" x14ac:dyDescent="0.2">
      <c r="A21" s="500"/>
      <c r="B21" s="501"/>
      <c r="C21" s="501"/>
      <c r="D21" s="500"/>
      <c r="E21" s="502"/>
      <c r="F21" s="165" t="str">
        <f t="shared" ca="1" si="0"/>
        <v/>
      </c>
      <c r="G21" s="210" t="str">
        <f>IF(OR(C21="home",$X$10=1,C21=""),"",IF(ROUNDDOWN(COUNTIF($C$12:C21,C21)/IF((A21-$A$12)&lt;7,(A21+1-$A$12)/7,(A21-$A$12)/7),0)&gt;3,"Poss Commute",""))</f>
        <v/>
      </c>
      <c r="H21" s="145" t="str">
        <f t="shared" si="2"/>
        <v/>
      </c>
      <c r="I21" s="106">
        <f t="shared" si="3"/>
        <v>0</v>
      </c>
      <c r="J21" s="106">
        <f t="shared" si="4"/>
        <v>0</v>
      </c>
      <c r="K21" s="163">
        <f t="shared" ca="1" si="5"/>
        <v>0</v>
      </c>
      <c r="L21" s="168"/>
      <c r="M21" s="629"/>
      <c r="N21" s="629"/>
      <c r="O21" s="629"/>
      <c r="P21" s="629"/>
      <c r="Q21" s="176"/>
      <c r="R21" s="176"/>
      <c r="S21" s="176">
        <f t="shared" si="6"/>
        <v>0</v>
      </c>
      <c r="T21" s="166">
        <f t="shared" si="1"/>
        <v>0</v>
      </c>
      <c r="U21" s="209"/>
      <c r="Z21">
        <v>5480</v>
      </c>
      <c r="AA21">
        <v>1</v>
      </c>
    </row>
    <row r="22" spans="1:27" x14ac:dyDescent="0.2">
      <c r="A22" s="500"/>
      <c r="B22" s="501"/>
      <c r="C22" s="501"/>
      <c r="D22" s="500"/>
      <c r="E22" s="502"/>
      <c r="F22" s="165" t="str">
        <f t="shared" ca="1" si="0"/>
        <v/>
      </c>
      <c r="G22" s="210" t="str">
        <f>IF(OR(C22="home",$X$10=1,C22=""),"",IF(ROUNDDOWN(COUNTIF($C$12:C22,C22)/IF((A22-$A$12)&lt;7,(A22+1-$A$12)/7,(A22-$A$12)/7),0)&gt;3,"Poss Commute",""))</f>
        <v/>
      </c>
      <c r="H22" s="145" t="str">
        <f t="shared" si="2"/>
        <v/>
      </c>
      <c r="I22" s="106">
        <f>IF($A$12&lt;new_rate_date,0,IF(H22="PR",(E22*old_rate)-(E22*new_rate),0))</f>
        <v>0</v>
      </c>
      <c r="J22" s="106">
        <f>IF($A$12&lt;new_rate_date,IF(A22&lt;new_rate_date,0,IF(H22="PR",(E22*new_rate)-(E22*old_rate),0)),0)</f>
        <v>0</v>
      </c>
      <c r="K22" s="163">
        <f t="shared" ca="1" si="5"/>
        <v>0</v>
      </c>
      <c r="L22" s="168"/>
      <c r="M22" s="629"/>
      <c r="N22" s="629"/>
      <c r="O22" s="629"/>
      <c r="P22" s="629"/>
      <c r="Q22" s="176"/>
      <c r="R22" s="176"/>
      <c r="S22" s="176">
        <f t="shared" si="6"/>
        <v>0</v>
      </c>
      <c r="T22" s="166">
        <f t="shared" si="1"/>
        <v>0</v>
      </c>
      <c r="U22" s="209"/>
      <c r="Z22">
        <v>5481</v>
      </c>
      <c r="AA22">
        <v>1</v>
      </c>
    </row>
    <row r="23" spans="1:27" x14ac:dyDescent="0.2">
      <c r="A23" s="500"/>
      <c r="B23" s="501"/>
      <c r="C23" s="501"/>
      <c r="D23" s="500"/>
      <c r="E23" s="502"/>
      <c r="F23" s="165" t="str">
        <f t="shared" ca="1" si="0"/>
        <v/>
      </c>
      <c r="G23" s="210" t="str">
        <f>IF(OR(C23="home",$X$10=1,C23=""),"",IF(ROUNDDOWN(COUNTIF($C$12:C23,C23)/IF((A23-$A$12)&lt;7,(A23+1-$A$12)/7,(A23-$A$12)/7),0)&gt;3,"Poss Commute",""))</f>
        <v/>
      </c>
      <c r="H23" s="145" t="str">
        <f t="shared" si="2"/>
        <v/>
      </c>
      <c r="I23" s="106">
        <f t="shared" si="3"/>
        <v>0</v>
      </c>
      <c r="J23" s="106">
        <f t="shared" si="4"/>
        <v>0</v>
      </c>
      <c r="K23" s="163">
        <f t="shared" ca="1" si="5"/>
        <v>0</v>
      </c>
      <c r="L23" s="169"/>
      <c r="M23" s="629"/>
      <c r="N23" s="629"/>
      <c r="O23" s="629"/>
      <c r="P23" s="629"/>
      <c r="Q23" s="176"/>
      <c r="R23" s="176"/>
      <c r="S23" s="176">
        <f t="shared" si="6"/>
        <v>0</v>
      </c>
      <c r="T23" s="166">
        <f t="shared" si="1"/>
        <v>0</v>
      </c>
      <c r="U23" s="209"/>
      <c r="Z23">
        <v>5483</v>
      </c>
      <c r="AA23">
        <v>1</v>
      </c>
    </row>
    <row r="24" spans="1:27" x14ac:dyDescent="0.2">
      <c r="A24" s="500"/>
      <c r="B24" s="501"/>
      <c r="C24" s="501"/>
      <c r="D24" s="500"/>
      <c r="E24" s="502"/>
      <c r="F24" s="165" t="str">
        <f t="shared" ca="1" si="0"/>
        <v/>
      </c>
      <c r="G24" s="210" t="str">
        <f>IF(OR(C24="home",$X$10=1,C24=""),"",IF(ROUNDDOWN(COUNTIF($C$12:C24,C24)/IF((A24-$A$12)&lt;7,(A24+1-$A$12)/7,(A24-$A$12)/7),0)&gt;3,"Poss Commute",""))</f>
        <v/>
      </c>
      <c r="H24" s="145" t="str">
        <f t="shared" si="2"/>
        <v/>
      </c>
      <c r="I24" s="106">
        <f t="shared" si="3"/>
        <v>0</v>
      </c>
      <c r="J24" s="106">
        <f t="shared" si="4"/>
        <v>0</v>
      </c>
      <c r="K24" s="163">
        <f t="shared" ca="1" si="5"/>
        <v>0</v>
      </c>
      <c r="L24" s="168"/>
      <c r="M24" s="629"/>
      <c r="N24" s="629"/>
      <c r="O24" s="629"/>
      <c r="P24" s="629"/>
      <c r="Q24" s="176"/>
      <c r="R24" s="176"/>
      <c r="S24" s="176">
        <f t="shared" si="6"/>
        <v>0</v>
      </c>
      <c r="T24" s="166">
        <f t="shared" si="1"/>
        <v>0</v>
      </c>
      <c r="U24" s="209"/>
      <c r="Z24">
        <v>5488</v>
      </c>
      <c r="AA24">
        <v>1</v>
      </c>
    </row>
    <row r="25" spans="1:27" x14ac:dyDescent="0.2">
      <c r="A25" s="500"/>
      <c r="B25" s="501"/>
      <c r="C25" s="501"/>
      <c r="D25" s="500"/>
      <c r="E25" s="502"/>
      <c r="F25" s="165" t="str">
        <f t="shared" ca="1" si="0"/>
        <v/>
      </c>
      <c r="G25" s="210" t="str">
        <f>IF(OR(C25="home",$X$10=1,C25=""),"",IF(ROUNDDOWN(COUNTIF($C$12:C25,C25)/IF((A25-$A$12)&lt;7,(A25+1-$A$12)/7,(A25-$A$12)/7),0)&gt;3,"Poss Commute",""))</f>
        <v/>
      </c>
      <c r="H25" s="145" t="str">
        <f t="shared" si="2"/>
        <v/>
      </c>
      <c r="I25" s="106">
        <f t="shared" si="3"/>
        <v>0</v>
      </c>
      <c r="J25" s="106">
        <f t="shared" si="4"/>
        <v>0</v>
      </c>
      <c r="K25" s="163">
        <f t="shared" ca="1" si="5"/>
        <v>0</v>
      </c>
      <c r="L25" s="168"/>
      <c r="M25" s="629"/>
      <c r="N25" s="629"/>
      <c r="O25" s="629"/>
      <c r="P25" s="629"/>
      <c r="Q25" s="176"/>
      <c r="R25" s="176"/>
      <c r="S25" s="176">
        <f t="shared" si="6"/>
        <v>0</v>
      </c>
      <c r="T25" s="166">
        <f t="shared" si="1"/>
        <v>0</v>
      </c>
      <c r="U25" s="209"/>
      <c r="Z25">
        <v>5489</v>
      </c>
      <c r="AA25">
        <v>1</v>
      </c>
    </row>
    <row r="26" spans="1:27" x14ac:dyDescent="0.2">
      <c r="A26" s="500"/>
      <c r="B26" s="501"/>
      <c r="C26" s="501"/>
      <c r="D26" s="500"/>
      <c r="E26" s="502"/>
      <c r="F26" s="165" t="str">
        <f t="shared" ca="1" si="0"/>
        <v/>
      </c>
      <c r="G26" s="210" t="str">
        <f>IF(OR(C26="home",$X$10=1,C26=""),"",IF(ROUNDDOWN(COUNTIF($C$12:C26,C26)/IF((A26-$A$12)&lt;7,(A26+1-$A$12)/7,(A26-$A$12)/7),0)&gt;3,"Poss Commute",""))</f>
        <v/>
      </c>
      <c r="H26" s="145" t="str">
        <f t="shared" si="2"/>
        <v/>
      </c>
      <c r="I26" s="106">
        <f t="shared" si="3"/>
        <v>0</v>
      </c>
      <c r="J26" s="106">
        <f t="shared" si="4"/>
        <v>0</v>
      </c>
      <c r="K26" s="163">
        <f t="shared" ca="1" si="5"/>
        <v>0</v>
      </c>
      <c r="L26" s="168"/>
      <c r="M26" s="629"/>
      <c r="N26" s="629"/>
      <c r="O26" s="629"/>
      <c r="P26" s="629"/>
      <c r="Q26" s="176"/>
      <c r="R26" s="176"/>
      <c r="S26" s="176">
        <f t="shared" si="6"/>
        <v>0</v>
      </c>
      <c r="T26" s="166">
        <f t="shared" si="1"/>
        <v>0</v>
      </c>
      <c r="U26" s="209"/>
      <c r="Z26">
        <v>5505</v>
      </c>
      <c r="AA26">
        <v>1</v>
      </c>
    </row>
    <row r="27" spans="1:27" x14ac:dyDescent="0.2">
      <c r="A27" s="500"/>
      <c r="B27" s="501"/>
      <c r="C27" s="501"/>
      <c r="D27" s="500"/>
      <c r="E27" s="502"/>
      <c r="F27" s="165" t="str">
        <f t="shared" ca="1" si="0"/>
        <v/>
      </c>
      <c r="G27" s="210" t="str">
        <f>IF(OR(C27="home",$X$10=1,C27=""),"",IF(ROUNDDOWN(COUNTIF($C$12:C27,C27)/IF((A27-$A$12)&lt;7,(A27+1-$A$12)/7,(A27-$A$12)/7),0)&gt;3,"Poss Commute",""))</f>
        <v/>
      </c>
      <c r="H27" s="145" t="str">
        <f t="shared" si="2"/>
        <v/>
      </c>
      <c r="I27" s="106">
        <f t="shared" si="3"/>
        <v>0</v>
      </c>
      <c r="J27" s="106">
        <f t="shared" si="4"/>
        <v>0</v>
      </c>
      <c r="K27" s="163">
        <f t="shared" ca="1" si="5"/>
        <v>0</v>
      </c>
      <c r="L27" s="168"/>
      <c r="M27" s="629"/>
      <c r="N27" s="629"/>
      <c r="O27" s="629"/>
      <c r="P27" s="629"/>
      <c r="Q27" s="176"/>
      <c r="R27" s="176"/>
      <c r="S27" s="176">
        <f t="shared" si="6"/>
        <v>0</v>
      </c>
      <c r="T27" s="166">
        <f t="shared" si="1"/>
        <v>0</v>
      </c>
      <c r="U27" s="209"/>
      <c r="Z27">
        <v>5512</v>
      </c>
      <c r="AA27">
        <v>1</v>
      </c>
    </row>
    <row r="28" spans="1:27" x14ac:dyDescent="0.2">
      <c r="A28" s="500"/>
      <c r="B28" s="501"/>
      <c r="C28" s="501"/>
      <c r="D28" s="500"/>
      <c r="E28" s="502"/>
      <c r="F28" s="165" t="str">
        <f t="shared" ca="1" si="0"/>
        <v/>
      </c>
      <c r="G28" s="210" t="str">
        <f>IF(OR(C28="home",$X$10=1,C28=""),"",IF(ROUNDDOWN(COUNTIF($C$12:C28,C28)/IF((A28-$A$12)&lt;7,(A28+1-$A$12)/7,(A28-$A$12)/7),0)&gt;3,"Poss Commute",""))</f>
        <v/>
      </c>
      <c r="H28" s="145" t="str">
        <f t="shared" si="2"/>
        <v/>
      </c>
      <c r="I28" s="106">
        <f t="shared" si="3"/>
        <v>0</v>
      </c>
      <c r="J28" s="106">
        <f t="shared" si="4"/>
        <v>0</v>
      </c>
      <c r="K28" s="163">
        <f t="shared" ca="1" si="5"/>
        <v>0</v>
      </c>
      <c r="L28" s="168"/>
      <c r="M28" s="629"/>
      <c r="N28" s="629"/>
      <c r="O28" s="629"/>
      <c r="P28" s="629"/>
      <c r="Q28" s="176"/>
      <c r="R28" s="176"/>
      <c r="S28" s="176">
        <f t="shared" si="6"/>
        <v>0</v>
      </c>
      <c r="T28" s="166">
        <f t="shared" si="1"/>
        <v>0</v>
      </c>
      <c r="U28" s="209"/>
      <c r="Z28">
        <v>5536</v>
      </c>
      <c r="AA28">
        <v>1</v>
      </c>
    </row>
    <row r="29" spans="1:27" x14ac:dyDescent="0.2">
      <c r="A29" s="500"/>
      <c r="B29" s="501"/>
      <c r="C29" s="501"/>
      <c r="D29" s="500"/>
      <c r="E29" s="502"/>
      <c r="F29" s="165" t="str">
        <f t="shared" ca="1" si="0"/>
        <v/>
      </c>
      <c r="G29" s="210" t="str">
        <f>IF(OR(C29="home",$X$10=1,C29=""),"",IF(ROUNDDOWN(COUNTIF($C$12:C29,C29)/IF((A29-$A$12)&lt;7,(A29+1-$A$12)/7,(A29-$A$12)/7),0)&gt;3,"Poss Commute",""))</f>
        <v/>
      </c>
      <c r="H29" s="145" t="str">
        <f t="shared" si="2"/>
        <v/>
      </c>
      <c r="I29" s="106">
        <f t="shared" si="3"/>
        <v>0</v>
      </c>
      <c r="J29" s="106">
        <f t="shared" si="4"/>
        <v>0</v>
      </c>
      <c r="K29" s="163">
        <f t="shared" ca="1" si="5"/>
        <v>0</v>
      </c>
      <c r="L29" s="168"/>
      <c r="M29" s="629"/>
      <c r="N29" s="629"/>
      <c r="O29" s="629"/>
      <c r="P29" s="629"/>
      <c r="Q29" s="176"/>
      <c r="R29" s="176"/>
      <c r="S29" s="176">
        <f t="shared" si="6"/>
        <v>0</v>
      </c>
      <c r="T29" s="166">
        <f t="shared" si="1"/>
        <v>0</v>
      </c>
      <c r="U29" s="209"/>
      <c r="Z29">
        <v>5537</v>
      </c>
      <c r="AA29">
        <v>1</v>
      </c>
    </row>
    <row r="30" spans="1:27" x14ac:dyDescent="0.2">
      <c r="A30" s="500"/>
      <c r="B30" s="501"/>
      <c r="C30" s="501"/>
      <c r="D30" s="500"/>
      <c r="E30" s="502"/>
      <c r="F30" s="165" t="str">
        <f t="shared" ca="1" si="0"/>
        <v/>
      </c>
      <c r="G30" s="210" t="str">
        <f>IF(OR(C30="home",$X$10=1,C30=""),"",IF(ROUNDDOWN(COUNTIF($C$12:C30,C30)/IF((A30-$A$12)&lt;7,(A30+1-$A$12)/7,(A30-$A$12)/7),0)&gt;3,"Poss Commute",""))</f>
        <v/>
      </c>
      <c r="H30" s="145" t="str">
        <f t="shared" si="2"/>
        <v/>
      </c>
      <c r="I30" s="106">
        <f t="shared" si="3"/>
        <v>0</v>
      </c>
      <c r="J30" s="106">
        <f t="shared" si="4"/>
        <v>0</v>
      </c>
      <c r="K30" s="163">
        <f t="shared" ca="1" si="5"/>
        <v>0</v>
      </c>
      <c r="L30" s="168"/>
      <c r="M30" s="629"/>
      <c r="N30" s="629"/>
      <c r="O30" s="629"/>
      <c r="P30" s="629"/>
      <c r="Q30" s="176"/>
      <c r="R30" s="176"/>
      <c r="S30" s="176">
        <f t="shared" si="6"/>
        <v>0</v>
      </c>
      <c r="T30" s="166">
        <f t="shared" si="1"/>
        <v>0</v>
      </c>
      <c r="U30" s="209"/>
      <c r="Z30">
        <v>5563</v>
      </c>
      <c r="AA30">
        <v>1</v>
      </c>
    </row>
    <row r="31" spans="1:27" x14ac:dyDescent="0.2">
      <c r="A31" s="500"/>
      <c r="B31" s="501"/>
      <c r="C31" s="501"/>
      <c r="D31" s="500"/>
      <c r="E31" s="502"/>
      <c r="F31" s="165" t="str">
        <f t="shared" ca="1" si="0"/>
        <v/>
      </c>
      <c r="G31" s="210" t="str">
        <f>IF(OR(C31="home",$X$10=1,C31=""),"",IF(ROUNDDOWN(COUNTIF($C$12:C31,C31)/IF((A31-$A$12)&lt;7,(A31+1-$A$12)/7,(A31-$A$12)/7),0)&gt;3,"Poss Commute",""))</f>
        <v/>
      </c>
      <c r="H31" s="145" t="str">
        <f t="shared" si="2"/>
        <v/>
      </c>
      <c r="I31" s="106">
        <f t="shared" si="3"/>
        <v>0</v>
      </c>
      <c r="J31" s="106">
        <f t="shared" si="4"/>
        <v>0</v>
      </c>
      <c r="K31" s="163">
        <f t="shared" ca="1" si="5"/>
        <v>0</v>
      </c>
      <c r="L31" s="168"/>
      <c r="M31" s="629"/>
      <c r="N31" s="629"/>
      <c r="O31" s="629"/>
      <c r="P31" s="629"/>
      <c r="Q31" s="176"/>
      <c r="R31" s="176"/>
      <c r="S31" s="176">
        <f t="shared" si="6"/>
        <v>0</v>
      </c>
      <c r="T31" s="166">
        <f t="shared" si="1"/>
        <v>0</v>
      </c>
      <c r="U31" s="209"/>
      <c r="Z31">
        <v>5572</v>
      </c>
      <c r="AA31">
        <v>1</v>
      </c>
    </row>
    <row r="32" spans="1:27" x14ac:dyDescent="0.2">
      <c r="A32" s="500"/>
      <c r="B32" s="501"/>
      <c r="C32" s="501"/>
      <c r="D32" s="500"/>
      <c r="E32" s="502"/>
      <c r="F32" s="165" t="str">
        <f t="shared" ca="1" si="0"/>
        <v/>
      </c>
      <c r="G32" s="210" t="str">
        <f>IF(OR(C32="home",$X$10=1,C32=""),"",IF(ROUNDDOWN(COUNTIF($C$12:C32,C32)/IF((A32-$A$12)&lt;7,(A32+1-$A$12)/7,(A32-$A$12)/7),0)&gt;3,"Poss Commute",""))</f>
        <v/>
      </c>
      <c r="H32" s="145" t="str">
        <f t="shared" si="2"/>
        <v/>
      </c>
      <c r="I32" s="106">
        <f t="shared" si="3"/>
        <v>0</v>
      </c>
      <c r="J32" s="106">
        <f t="shared" si="4"/>
        <v>0</v>
      </c>
      <c r="K32" s="163">
        <f t="shared" ca="1" si="5"/>
        <v>0</v>
      </c>
      <c r="L32" s="168"/>
      <c r="M32" s="629"/>
      <c r="N32" s="629"/>
      <c r="O32" s="629"/>
      <c r="P32" s="629"/>
      <c r="Q32" s="176"/>
      <c r="R32" s="176"/>
      <c r="S32" s="176">
        <f t="shared" si="6"/>
        <v>0</v>
      </c>
      <c r="T32" s="166">
        <f t="shared" si="1"/>
        <v>0</v>
      </c>
      <c r="U32" s="209"/>
      <c r="Z32">
        <v>5581</v>
      </c>
      <c r="AA32">
        <v>1</v>
      </c>
    </row>
    <row r="33" spans="1:27" x14ac:dyDescent="0.2">
      <c r="A33" s="500"/>
      <c r="B33" s="501"/>
      <c r="C33" s="501"/>
      <c r="D33" s="500"/>
      <c r="E33" s="502"/>
      <c r="F33" s="165" t="str">
        <f t="shared" ca="1" si="0"/>
        <v/>
      </c>
      <c r="G33" s="210" t="str">
        <f>IF(OR(C33="home",$X$10=1,C33=""),"",IF(ROUNDDOWN(COUNTIF($C$12:C33,C33)/IF((A33-$A$12)&lt;7,(A33+1-$A$12)/7,(A33-$A$12)/7),0)&gt;3,"Poss Commute",""))</f>
        <v/>
      </c>
      <c r="H33" s="145" t="str">
        <f t="shared" si="2"/>
        <v/>
      </c>
      <c r="I33" s="106">
        <f t="shared" si="3"/>
        <v>0</v>
      </c>
      <c r="J33" s="106">
        <f t="shared" si="4"/>
        <v>0</v>
      </c>
      <c r="K33" s="163">
        <f t="shared" ca="1" si="5"/>
        <v>0</v>
      </c>
      <c r="L33" s="168"/>
      <c r="M33" s="629"/>
      <c r="N33" s="629"/>
      <c r="O33" s="629"/>
      <c r="P33" s="629"/>
      <c r="Q33" s="176"/>
      <c r="R33" s="176"/>
      <c r="S33" s="176">
        <f t="shared" si="6"/>
        <v>0</v>
      </c>
      <c r="T33" s="166">
        <f t="shared" si="1"/>
        <v>0</v>
      </c>
      <c r="U33" s="209"/>
      <c r="Z33">
        <v>5634</v>
      </c>
      <c r="AA33">
        <v>1</v>
      </c>
    </row>
    <row r="34" spans="1:27" x14ac:dyDescent="0.2">
      <c r="A34" s="500"/>
      <c r="B34" s="501"/>
      <c r="C34" s="501"/>
      <c r="D34" s="500"/>
      <c r="E34" s="502"/>
      <c r="F34" s="165" t="str">
        <f t="shared" ca="1" si="0"/>
        <v/>
      </c>
      <c r="G34" s="210" t="str">
        <f>IF(OR(C34="home",$X$10=1,C34=""),"",IF(ROUNDDOWN(COUNTIF($C$12:C34,C34)/IF((A34-$A$12)&lt;7,(A34+1-$A$12)/7,(A34-$A$12)/7),0)&gt;3,"Poss Commute",""))</f>
        <v/>
      </c>
      <c r="H34" s="145" t="str">
        <f t="shared" si="2"/>
        <v/>
      </c>
      <c r="I34" s="106">
        <f t="shared" si="3"/>
        <v>0</v>
      </c>
      <c r="J34" s="106">
        <f t="shared" si="4"/>
        <v>0</v>
      </c>
      <c r="K34" s="163">
        <f t="shared" ca="1" si="5"/>
        <v>0</v>
      </c>
      <c r="L34" s="168"/>
      <c r="M34" s="629"/>
      <c r="N34" s="629"/>
      <c r="O34" s="629"/>
      <c r="P34" s="629"/>
      <c r="Q34" s="176"/>
      <c r="R34" s="176"/>
      <c r="S34" s="176">
        <f t="shared" si="6"/>
        <v>0</v>
      </c>
      <c r="T34" s="166">
        <f t="shared" si="1"/>
        <v>0</v>
      </c>
      <c r="U34" s="209"/>
      <c r="Z34">
        <v>5662</v>
      </c>
      <c r="AA34">
        <v>1</v>
      </c>
    </row>
    <row r="35" spans="1:27" x14ac:dyDescent="0.2">
      <c r="A35" s="500"/>
      <c r="B35" s="501"/>
      <c r="C35" s="501"/>
      <c r="D35" s="500"/>
      <c r="E35" s="502"/>
      <c r="F35" s="165" t="str">
        <f t="shared" ca="1" si="0"/>
        <v/>
      </c>
      <c r="G35" s="210" t="str">
        <f>IF(OR(C35="home",$X$10=1,C35=""),"",IF(ROUNDDOWN(COUNTIF($C$12:C35,C35)/IF((A35-$A$12)&lt;7,(A35+1-$A$12)/7,(A35-$A$12)/7),0)&gt;3,"Poss Commute",""))</f>
        <v/>
      </c>
      <c r="H35" s="145" t="str">
        <f t="shared" si="2"/>
        <v/>
      </c>
      <c r="I35" s="106">
        <f t="shared" si="3"/>
        <v>0</v>
      </c>
      <c r="J35" s="106">
        <f t="shared" si="4"/>
        <v>0</v>
      </c>
      <c r="K35" s="163">
        <f t="shared" ca="1" si="5"/>
        <v>0</v>
      </c>
      <c r="L35" s="168"/>
      <c r="M35" s="629"/>
      <c r="N35" s="629"/>
      <c r="O35" s="629"/>
      <c r="P35" s="629"/>
      <c r="Q35" s="176"/>
      <c r="R35" s="176"/>
      <c r="S35" s="176">
        <f t="shared" si="6"/>
        <v>0</v>
      </c>
      <c r="T35" s="166">
        <f t="shared" si="1"/>
        <v>0</v>
      </c>
      <c r="U35" s="209"/>
      <c r="Z35">
        <v>5743</v>
      </c>
      <c r="AA35">
        <v>1</v>
      </c>
    </row>
    <row r="36" spans="1:27" x14ac:dyDescent="0.2">
      <c r="A36" s="500"/>
      <c r="B36" s="501"/>
      <c r="C36" s="501"/>
      <c r="D36" s="500"/>
      <c r="E36" s="502"/>
      <c r="F36" s="165" t="str">
        <f t="shared" ca="1" si="0"/>
        <v/>
      </c>
      <c r="G36" s="210" t="str">
        <f>IF(OR(C36="home",$X$10=1,C36=""),"",IF(ROUNDDOWN(COUNTIF($C$12:C36,C36)/IF((A36-$A$12)&lt;7,(A36+1-$A$12)/7,(A36-$A$12)/7),0)&gt;3,"Poss Commute",""))</f>
        <v/>
      </c>
      <c r="H36" s="145" t="str">
        <f t="shared" si="2"/>
        <v/>
      </c>
      <c r="I36" s="106">
        <f t="shared" si="3"/>
        <v>0</v>
      </c>
      <c r="J36" s="106">
        <f t="shared" si="4"/>
        <v>0</v>
      </c>
      <c r="K36" s="163">
        <f t="shared" ca="1" si="5"/>
        <v>0</v>
      </c>
      <c r="L36" s="168"/>
      <c r="M36" s="629"/>
      <c r="N36" s="629"/>
      <c r="O36" s="629"/>
      <c r="P36" s="629"/>
      <c r="Q36" s="176"/>
      <c r="R36" s="176"/>
      <c r="S36" s="176">
        <f t="shared" si="6"/>
        <v>0</v>
      </c>
      <c r="T36" s="166">
        <f t="shared" si="1"/>
        <v>0</v>
      </c>
      <c r="U36" s="209"/>
      <c r="Z36">
        <v>5754</v>
      </c>
      <c r="AA36">
        <v>1</v>
      </c>
    </row>
    <row r="37" spans="1:27" x14ac:dyDescent="0.2">
      <c r="A37" s="500"/>
      <c r="B37" s="501"/>
      <c r="C37" s="501"/>
      <c r="D37" s="500"/>
      <c r="E37" s="502"/>
      <c r="F37" s="165" t="str">
        <f t="shared" ca="1" si="0"/>
        <v/>
      </c>
      <c r="G37" s="210" t="str">
        <f>IF(OR(C37="home",$X$10=1,C37=""),"",IF(ROUNDDOWN(COUNTIF($C$12:C37,C37)/IF((A37-$A$12)&lt;7,(A37+1-$A$12)/7,(A37-$A$12)/7),0)&gt;3,"Poss Commute",""))</f>
        <v/>
      </c>
      <c r="H37" s="145" t="str">
        <f t="shared" si="2"/>
        <v/>
      </c>
      <c r="I37" s="106">
        <f t="shared" si="3"/>
        <v>0</v>
      </c>
      <c r="J37" s="106">
        <f t="shared" si="4"/>
        <v>0</v>
      </c>
      <c r="K37" s="163">
        <f t="shared" ca="1" si="5"/>
        <v>0</v>
      </c>
      <c r="L37" s="168"/>
      <c r="M37" s="629"/>
      <c r="N37" s="629"/>
      <c r="O37" s="629"/>
      <c r="P37" s="629"/>
      <c r="Q37" s="176"/>
      <c r="R37" s="176"/>
      <c r="S37" s="176">
        <f t="shared" si="6"/>
        <v>0</v>
      </c>
      <c r="T37" s="166">
        <f t="shared" si="1"/>
        <v>0</v>
      </c>
      <c r="U37" s="209"/>
      <c r="Z37">
        <v>5755</v>
      </c>
      <c r="AA37">
        <v>1</v>
      </c>
    </row>
    <row r="38" spans="1:27" x14ac:dyDescent="0.2">
      <c r="A38" s="500"/>
      <c r="B38" s="501"/>
      <c r="C38" s="501"/>
      <c r="D38" s="500"/>
      <c r="E38" s="502"/>
      <c r="F38" s="165" t="str">
        <f t="shared" ca="1" si="0"/>
        <v/>
      </c>
      <c r="G38" s="210" t="str">
        <f>IF(OR(C38="home",$X$10=1,C38=""),"",IF(ROUNDDOWN(COUNTIF($C$12:C38,C38)/IF((A38-$A$12)&lt;7,(A38+1-$A$12)/7,(A38-$A$12)/7),0)&gt;3,"Poss Commute",""))</f>
        <v/>
      </c>
      <c r="H38" s="145" t="str">
        <f t="shared" si="2"/>
        <v/>
      </c>
      <c r="I38" s="106">
        <f t="shared" si="3"/>
        <v>0</v>
      </c>
      <c r="J38" s="106">
        <f t="shared" si="4"/>
        <v>0</v>
      </c>
      <c r="K38" s="163">
        <f t="shared" ca="1" si="5"/>
        <v>0</v>
      </c>
      <c r="L38" s="168"/>
      <c r="M38" s="629"/>
      <c r="N38" s="629"/>
      <c r="O38" s="629"/>
      <c r="P38" s="629"/>
      <c r="Q38" s="176"/>
      <c r="R38" s="176"/>
      <c r="S38" s="176">
        <f t="shared" si="6"/>
        <v>0</v>
      </c>
      <c r="T38" s="166">
        <f t="shared" si="1"/>
        <v>0</v>
      </c>
      <c r="U38" s="209"/>
      <c r="Z38">
        <v>5764</v>
      </c>
      <c r="AA38">
        <v>1</v>
      </c>
    </row>
    <row r="39" spans="1:27" x14ac:dyDescent="0.2">
      <c r="A39" s="500"/>
      <c r="B39" s="501"/>
      <c r="C39" s="501"/>
      <c r="D39" s="500"/>
      <c r="E39" s="502"/>
      <c r="F39" s="165" t="str">
        <f t="shared" ca="1" si="0"/>
        <v/>
      </c>
      <c r="G39" s="210" t="str">
        <f>IF(OR(C39="home",$X$10=1,C39=""),"",IF(ROUNDDOWN(COUNTIF($C$12:C39,C39)/IF((A39-$A$12)&lt;7,(A39+1-$A$12)/7,(A39-$A$12)/7),0)&gt;3,"Poss Commute",""))</f>
        <v/>
      </c>
      <c r="H39" s="145" t="str">
        <f t="shared" si="2"/>
        <v/>
      </c>
      <c r="I39" s="106">
        <f t="shared" si="3"/>
        <v>0</v>
      </c>
      <c r="J39" s="106">
        <f t="shared" si="4"/>
        <v>0</v>
      </c>
      <c r="K39" s="163">
        <f t="shared" ca="1" si="5"/>
        <v>0</v>
      </c>
      <c r="L39" s="168"/>
      <c r="M39" s="629"/>
      <c r="N39" s="629"/>
      <c r="O39" s="629"/>
      <c r="P39" s="629"/>
      <c r="Q39" s="176"/>
      <c r="R39" s="176"/>
      <c r="S39" s="176">
        <f t="shared" si="6"/>
        <v>0</v>
      </c>
      <c r="T39" s="166">
        <f t="shared" si="1"/>
        <v>0</v>
      </c>
      <c r="U39" s="209"/>
      <c r="Z39">
        <v>5776</v>
      </c>
      <c r="AA39">
        <v>1</v>
      </c>
    </row>
    <row r="40" spans="1:27" x14ac:dyDescent="0.2">
      <c r="A40" s="500"/>
      <c r="B40" s="501"/>
      <c r="C40" s="501"/>
      <c r="D40" s="500"/>
      <c r="E40" s="502"/>
      <c r="F40" s="165" t="str">
        <f t="shared" ca="1" si="0"/>
        <v/>
      </c>
      <c r="G40" s="210" t="str">
        <f>IF(OR(C40="home",$X$10=1,C40=""),"",IF(ROUNDDOWN(COUNTIF($C$12:C40,C40)/IF((A40-$A$12)&lt;7,(A40+1-$A$12)/7,(A40-$A$12)/7),0)&gt;3,"Poss Commute",""))</f>
        <v/>
      </c>
      <c r="H40" s="145" t="str">
        <f t="shared" si="2"/>
        <v/>
      </c>
      <c r="I40" s="106">
        <f t="shared" si="3"/>
        <v>0</v>
      </c>
      <c r="J40" s="106">
        <f t="shared" si="4"/>
        <v>0</v>
      </c>
      <c r="K40" s="163">
        <f t="shared" ca="1" si="5"/>
        <v>0</v>
      </c>
      <c r="L40" s="168"/>
      <c r="M40" s="629"/>
      <c r="N40" s="629"/>
      <c r="O40" s="629"/>
      <c r="P40" s="629"/>
      <c r="Q40" s="176"/>
      <c r="R40" s="176"/>
      <c r="S40" s="176">
        <f t="shared" si="6"/>
        <v>0</v>
      </c>
      <c r="T40" s="166">
        <f t="shared" si="1"/>
        <v>0</v>
      </c>
      <c r="U40" s="209"/>
      <c r="Z40">
        <v>5949</v>
      </c>
      <c r="AA40">
        <v>1</v>
      </c>
    </row>
    <row r="41" spans="1:27" x14ac:dyDescent="0.2">
      <c r="A41" s="500"/>
      <c r="B41" s="501"/>
      <c r="C41" s="501"/>
      <c r="D41" s="500"/>
      <c r="E41" s="502"/>
      <c r="F41" s="165" t="str">
        <f t="shared" ca="1" si="0"/>
        <v/>
      </c>
      <c r="G41" s="210" t="str">
        <f>IF(OR(C41="home",$X$10=1,C41=""),"",IF(ROUNDDOWN(COUNTIF($C$12:C41,C41)/IF((A41-$A$12)&lt;7,(A41+1-$A$12)/7,(A41-$A$12)/7),0)&gt;3,"Poss Commute",""))</f>
        <v/>
      </c>
      <c r="H41" s="145" t="str">
        <f t="shared" si="2"/>
        <v/>
      </c>
      <c r="I41" s="106">
        <f t="shared" si="3"/>
        <v>0</v>
      </c>
      <c r="J41" s="106">
        <f t="shared" si="4"/>
        <v>0</v>
      </c>
      <c r="K41" s="163">
        <f t="shared" ca="1" si="5"/>
        <v>0</v>
      </c>
      <c r="L41" s="168"/>
      <c r="M41" s="629"/>
      <c r="N41" s="629"/>
      <c r="O41" s="629"/>
      <c r="P41" s="629"/>
      <c r="Q41" s="176"/>
      <c r="R41" s="176"/>
      <c r="S41" s="176">
        <f t="shared" si="6"/>
        <v>0</v>
      </c>
      <c r="T41" s="166">
        <f t="shared" si="1"/>
        <v>0</v>
      </c>
      <c r="U41" s="209"/>
    </row>
    <row r="42" spans="1:27" ht="15.75" customHeight="1" x14ac:dyDescent="0.2">
      <c r="A42" s="500"/>
      <c r="B42" s="501"/>
      <c r="C42" s="501"/>
      <c r="D42" s="500"/>
      <c r="E42" s="502"/>
      <c r="F42" s="165" t="str">
        <f t="shared" ca="1" si="0"/>
        <v/>
      </c>
      <c r="G42" s="210" t="str">
        <f>IF(OR(C42="home",$X$10=1,C42=""),"",IF(ROUNDDOWN(COUNTIF($C$12:C42,C42)/IF((A42-$A$12)&lt;7,(A42+1-$A$12)/7,(A42-$A$12)/7),0)&gt;3,"Poss Commute",""))</f>
        <v/>
      </c>
      <c r="H42" s="145" t="str">
        <f t="shared" si="2"/>
        <v/>
      </c>
      <c r="I42" s="106">
        <f t="shared" si="3"/>
        <v>0</v>
      </c>
      <c r="J42" s="106">
        <f t="shared" si="4"/>
        <v>0</v>
      </c>
      <c r="K42" s="163">
        <f t="shared" ca="1" si="5"/>
        <v>0</v>
      </c>
      <c r="L42" s="168"/>
      <c r="M42" s="629"/>
      <c r="N42" s="629"/>
      <c r="O42" s="629"/>
      <c r="P42" s="629"/>
      <c r="Q42" s="176"/>
      <c r="R42" s="176"/>
      <c r="S42" s="176">
        <f t="shared" si="6"/>
        <v>0</v>
      </c>
      <c r="T42" s="166">
        <f t="shared" si="1"/>
        <v>0</v>
      </c>
      <c r="U42" s="209"/>
    </row>
    <row r="43" spans="1:27" x14ac:dyDescent="0.2">
      <c r="A43" s="500"/>
      <c r="B43" s="501"/>
      <c r="C43" s="501"/>
      <c r="D43" s="500"/>
      <c r="E43" s="502"/>
      <c r="F43" s="165" t="str">
        <f t="shared" ca="1" si="0"/>
        <v/>
      </c>
      <c r="G43" s="210" t="str">
        <f>IF(OR(C43="home",$X$10=1,C43=""),"",IF(ROUNDDOWN(COUNTIF($C$12:C43,C43)/IF((A43-$A$12)&lt;7,(A43+1-$A$12)/7,(A43-$A$12)/7),0)&gt;3,"Poss Commute",""))</f>
        <v/>
      </c>
      <c r="H43" s="145" t="str">
        <f t="shared" si="2"/>
        <v/>
      </c>
      <c r="I43" s="106">
        <f t="shared" si="3"/>
        <v>0</v>
      </c>
      <c r="J43" s="106">
        <f t="shared" si="4"/>
        <v>0</v>
      </c>
      <c r="K43" s="163">
        <f t="shared" ca="1" si="5"/>
        <v>0</v>
      </c>
      <c r="L43" s="168"/>
      <c r="M43" s="629"/>
      <c r="N43" s="629"/>
      <c r="O43" s="629"/>
      <c r="P43" s="629"/>
      <c r="Q43" s="176"/>
      <c r="R43" s="176"/>
      <c r="S43" s="176">
        <f t="shared" si="6"/>
        <v>0</v>
      </c>
      <c r="T43" s="166">
        <f t="shared" si="1"/>
        <v>0</v>
      </c>
      <c r="U43" s="209"/>
    </row>
    <row r="44" spans="1:27" x14ac:dyDescent="0.2">
      <c r="A44" s="500"/>
      <c r="B44" s="501"/>
      <c r="C44" s="501"/>
      <c r="D44" s="500"/>
      <c r="E44" s="502"/>
      <c r="F44" s="165" t="str">
        <f t="shared" ca="1" si="0"/>
        <v/>
      </c>
      <c r="G44" s="210" t="str">
        <f>IF(OR(C44="home",$X$10=1,C44=""),"",IF(ROUNDDOWN(COUNTIF($C$12:C44,C44)/IF((A44-$A$12)&lt;7,(A44+1-$A$12)/7,(A44-$A$12)/7),0)&gt;3,"Poss Commute",""))</f>
        <v/>
      </c>
      <c r="H44" s="145" t="str">
        <f t="shared" si="2"/>
        <v/>
      </c>
      <c r="I44" s="106">
        <f t="shared" si="3"/>
        <v>0</v>
      </c>
      <c r="J44" s="106">
        <f t="shared" si="4"/>
        <v>0</v>
      </c>
      <c r="K44" s="163">
        <f t="shared" ca="1" si="5"/>
        <v>0</v>
      </c>
      <c r="L44" s="168"/>
      <c r="M44" s="629"/>
      <c r="N44" s="629"/>
      <c r="O44" s="629"/>
      <c r="P44" s="629"/>
      <c r="Q44" s="176"/>
      <c r="R44" s="176"/>
      <c r="S44" s="176">
        <f t="shared" si="6"/>
        <v>0</v>
      </c>
      <c r="T44" s="166">
        <f t="shared" si="1"/>
        <v>0</v>
      </c>
      <c r="U44" s="209"/>
    </row>
    <row r="45" spans="1:27" x14ac:dyDescent="0.2">
      <c r="A45" s="500"/>
      <c r="B45" s="501"/>
      <c r="C45" s="501"/>
      <c r="D45" s="500"/>
      <c r="E45" s="502"/>
      <c r="F45" s="165" t="str">
        <f t="shared" ca="1" si="0"/>
        <v/>
      </c>
      <c r="G45" s="210" t="str">
        <f>IF(OR(C45="home",$X$10=1,C45=""),"",IF(ROUNDDOWN(COUNTIF($C$12:C45,C45)/IF((A45-$A$12)&lt;7,(A45+1-$A$12)/7,(A45-$A$12)/7),0)&gt;3,"Poss Commute",""))</f>
        <v/>
      </c>
      <c r="H45" s="145" t="str">
        <f t="shared" si="2"/>
        <v/>
      </c>
      <c r="I45" s="106">
        <f t="shared" si="3"/>
        <v>0</v>
      </c>
      <c r="J45" s="106">
        <f t="shared" si="4"/>
        <v>0</v>
      </c>
      <c r="K45" s="163">
        <f t="shared" ca="1" si="5"/>
        <v>0</v>
      </c>
      <c r="L45" s="168"/>
      <c r="M45" s="629"/>
      <c r="N45" s="629"/>
      <c r="O45" s="629"/>
      <c r="P45" s="629"/>
      <c r="Q45" s="176"/>
      <c r="R45" s="176"/>
      <c r="S45" s="176">
        <f t="shared" si="6"/>
        <v>0</v>
      </c>
      <c r="T45" s="166">
        <f t="shared" si="1"/>
        <v>0</v>
      </c>
      <c r="U45" s="209"/>
    </row>
    <row r="46" spans="1:27" x14ac:dyDescent="0.2">
      <c r="A46" s="500"/>
      <c r="B46" s="501"/>
      <c r="C46" s="501"/>
      <c r="D46" s="500"/>
      <c r="E46" s="502"/>
      <c r="F46" s="165" t="str">
        <f t="shared" ca="1" si="0"/>
        <v/>
      </c>
      <c r="G46" s="210" t="str">
        <f>IF(OR(C46="home",$X$10=1,C46=""),"",IF(ROUNDDOWN(COUNTIF($C$12:C46,C46)/IF((A46-$A$12)&lt;7,(A46+1-$A$12)/7,(A46-$A$12)/7),0)&gt;3,"Poss Commute",""))</f>
        <v/>
      </c>
      <c r="H46" s="145" t="str">
        <f t="shared" si="2"/>
        <v/>
      </c>
      <c r="I46" s="106">
        <f t="shared" si="3"/>
        <v>0</v>
      </c>
      <c r="J46" s="106">
        <f t="shared" si="4"/>
        <v>0</v>
      </c>
      <c r="K46" s="163">
        <f t="shared" ca="1" si="5"/>
        <v>0</v>
      </c>
      <c r="L46" s="168"/>
      <c r="M46" s="629"/>
      <c r="N46" s="629"/>
      <c r="O46" s="629"/>
      <c r="P46" s="629"/>
      <c r="Q46" s="176"/>
      <c r="R46" s="176"/>
      <c r="S46" s="176">
        <f t="shared" si="6"/>
        <v>0</v>
      </c>
      <c r="T46" s="166">
        <f t="shared" si="1"/>
        <v>0</v>
      </c>
      <c r="U46" s="209"/>
    </row>
    <row r="47" spans="1:27" x14ac:dyDescent="0.2">
      <c r="A47" s="500"/>
      <c r="B47" s="501"/>
      <c r="C47" s="501"/>
      <c r="D47" s="500"/>
      <c r="E47" s="502"/>
      <c r="F47" s="165" t="str">
        <f t="shared" ca="1" si="0"/>
        <v/>
      </c>
      <c r="G47" s="210" t="str">
        <f>IF(OR(C47="home",$X$10=1,C47=""),"",IF(ROUNDDOWN(COUNTIF($C$12:C47,C47)/IF((A47-$A$12)&lt;7,(A47+1-$A$12)/7,(A47-$A$12)/7),0)&gt;3,"Poss Commute",""))</f>
        <v/>
      </c>
      <c r="H47" s="145" t="str">
        <f t="shared" si="2"/>
        <v/>
      </c>
      <c r="I47" s="106">
        <f t="shared" si="3"/>
        <v>0</v>
      </c>
      <c r="J47" s="106">
        <f t="shared" si="4"/>
        <v>0</v>
      </c>
      <c r="K47" s="163">
        <f t="shared" ca="1" si="5"/>
        <v>0</v>
      </c>
      <c r="L47" s="168"/>
      <c r="M47" s="629"/>
      <c r="N47" s="629"/>
      <c r="O47" s="629"/>
      <c r="P47" s="629"/>
      <c r="Q47" s="176"/>
      <c r="R47" s="176"/>
      <c r="S47" s="176">
        <f t="shared" si="6"/>
        <v>0</v>
      </c>
      <c r="T47" s="166">
        <f t="shared" si="1"/>
        <v>0</v>
      </c>
      <c r="U47" s="209"/>
    </row>
    <row r="48" spans="1:27" x14ac:dyDescent="0.2">
      <c r="A48" s="500"/>
      <c r="B48" s="501"/>
      <c r="C48" s="501"/>
      <c r="D48" s="500"/>
      <c r="E48" s="502"/>
      <c r="F48" s="165" t="str">
        <f t="shared" ca="1" si="0"/>
        <v/>
      </c>
      <c r="G48" s="210" t="str">
        <f>IF(OR(C48="home",$X$10=1,C48=""),"",IF(ROUNDDOWN(COUNTIF($C$12:C48,C48)/IF((A48-$A$12)&lt;7,(A48+1-$A$12)/7,(A48-$A$12)/7),0)&gt;3,"Poss Commute",""))</f>
        <v/>
      </c>
      <c r="H48" s="145" t="str">
        <f t="shared" si="2"/>
        <v/>
      </c>
      <c r="I48" s="106">
        <f t="shared" si="3"/>
        <v>0</v>
      </c>
      <c r="J48" s="106">
        <f t="shared" si="4"/>
        <v>0</v>
      </c>
      <c r="K48" s="163">
        <f t="shared" ca="1" si="5"/>
        <v>0</v>
      </c>
      <c r="L48" s="168"/>
      <c r="M48" s="629"/>
      <c r="N48" s="629"/>
      <c r="O48" s="629"/>
      <c r="P48" s="629"/>
      <c r="Q48" s="176"/>
      <c r="R48" s="176"/>
      <c r="S48" s="176">
        <f t="shared" si="6"/>
        <v>0</v>
      </c>
      <c r="T48" s="166">
        <f t="shared" si="1"/>
        <v>0</v>
      </c>
      <c r="U48" s="209"/>
    </row>
    <row r="49" spans="1:21" x14ac:dyDescent="0.2">
      <c r="A49" s="500"/>
      <c r="B49" s="501"/>
      <c r="C49" s="501"/>
      <c r="D49" s="500"/>
      <c r="E49" s="502"/>
      <c r="F49" s="165" t="str">
        <f t="shared" ca="1" si="0"/>
        <v/>
      </c>
      <c r="G49" s="210" t="str">
        <f>IF(OR(C49="home",$X$10=1,C49=""),"",IF(ROUNDDOWN(COUNTIF($C$12:C49,C49)/IF((A49-$A$12)&lt;7,(A49+1-$A$12)/7,(A49-$A$12)/7),0)&gt;3,"Poss Commute",""))</f>
        <v/>
      </c>
      <c r="H49" s="145" t="str">
        <f t="shared" si="2"/>
        <v/>
      </c>
      <c r="I49" s="106">
        <f t="shared" si="3"/>
        <v>0</v>
      </c>
      <c r="J49" s="106">
        <f t="shared" si="4"/>
        <v>0</v>
      </c>
      <c r="K49" s="163">
        <f t="shared" ca="1" si="5"/>
        <v>0</v>
      </c>
      <c r="L49" s="168"/>
      <c r="M49" s="629"/>
      <c r="N49" s="629"/>
      <c r="O49" s="629"/>
      <c r="P49" s="629"/>
      <c r="Q49" s="176"/>
      <c r="R49" s="176"/>
      <c r="S49" s="176">
        <f t="shared" si="6"/>
        <v>0</v>
      </c>
      <c r="T49" s="166">
        <f t="shared" si="1"/>
        <v>0</v>
      </c>
      <c r="U49" s="209"/>
    </row>
    <row r="50" spans="1:21" x14ac:dyDescent="0.2">
      <c r="A50" s="500"/>
      <c r="B50" s="501"/>
      <c r="C50" s="501"/>
      <c r="D50" s="500"/>
      <c r="E50" s="502"/>
      <c r="F50" s="165" t="str">
        <f t="shared" ca="1" si="0"/>
        <v/>
      </c>
      <c r="G50" s="210" t="str">
        <f>IF(OR(C50="home",$X$10=1,C50=""),"",IF(ROUNDDOWN(COUNTIF($C$12:C50,C50)/IF((A50-$A$12)&lt;7,(A50+1-$A$12)/7,(A50-$A$12)/7),0)&gt;3,"Poss Commute",""))</f>
        <v/>
      </c>
      <c r="H50" s="145" t="str">
        <f t="shared" si="2"/>
        <v/>
      </c>
      <c r="I50" s="106">
        <f t="shared" si="3"/>
        <v>0</v>
      </c>
      <c r="J50" s="106">
        <f t="shared" si="4"/>
        <v>0</v>
      </c>
      <c r="K50" s="163">
        <f t="shared" ca="1" si="5"/>
        <v>0</v>
      </c>
      <c r="L50" s="168"/>
      <c r="M50" s="629"/>
      <c r="N50" s="629"/>
      <c r="O50" s="629"/>
      <c r="P50" s="629"/>
      <c r="Q50" s="176"/>
      <c r="R50" s="176"/>
      <c r="S50" s="176">
        <f t="shared" si="6"/>
        <v>0</v>
      </c>
      <c r="T50" s="166">
        <f t="shared" si="1"/>
        <v>0</v>
      </c>
      <c r="U50" s="209" t="str">
        <f t="shared" ref="U50:U57" si="7">IF(A50="","",IF((A50-$A$12)&lt;7,(A50+1-$A$12),(A50-$A$12)/7))</f>
        <v/>
      </c>
    </row>
    <row r="51" spans="1:21" x14ac:dyDescent="0.2">
      <c r="A51" s="500"/>
      <c r="B51" s="501"/>
      <c r="C51" s="501"/>
      <c r="D51" s="500"/>
      <c r="E51" s="502"/>
      <c r="F51" s="165" t="str">
        <f t="shared" ca="1" si="0"/>
        <v/>
      </c>
      <c r="G51" s="210" t="str">
        <f>IF(OR(C51="home",$X$10=1,C51=""),"",IF(ROUNDDOWN(COUNTIF($C$12:C51,C51)/IF((A51-$A$12)&lt;7,(A51+1-$A$12)/7,(A51-$A$12)/7),0)&gt;3,"Poss Commute",""))</f>
        <v/>
      </c>
      <c r="H51" s="145" t="str">
        <f t="shared" si="2"/>
        <v/>
      </c>
      <c r="I51" s="106">
        <f t="shared" si="3"/>
        <v>0</v>
      </c>
      <c r="J51" s="106">
        <f t="shared" si="4"/>
        <v>0</v>
      </c>
      <c r="K51" s="163">
        <f t="shared" ca="1" si="5"/>
        <v>0</v>
      </c>
      <c r="L51" s="168"/>
      <c r="M51" s="629"/>
      <c r="N51" s="629"/>
      <c r="O51" s="629"/>
      <c r="P51" s="629"/>
      <c r="Q51" s="176"/>
      <c r="R51" s="176"/>
      <c r="S51" s="176">
        <f t="shared" si="6"/>
        <v>0</v>
      </c>
      <c r="T51" s="166">
        <f t="shared" si="1"/>
        <v>0</v>
      </c>
      <c r="U51" s="209" t="str">
        <f t="shared" si="7"/>
        <v/>
      </c>
    </row>
    <row r="52" spans="1:21" x14ac:dyDescent="0.2">
      <c r="A52" s="500"/>
      <c r="B52" s="501"/>
      <c r="C52" s="501"/>
      <c r="D52" s="500"/>
      <c r="E52" s="502"/>
      <c r="F52" s="165" t="str">
        <f t="shared" ca="1" si="0"/>
        <v/>
      </c>
      <c r="G52" s="210" t="str">
        <f>IF(OR(C52="home",$X$10=1,C52=""),"",IF(ROUNDDOWN(COUNTIF($C$12:C52,C52)/IF((A52-$A$12)&lt;7,(A52+1-$A$12)/7,(A52-$A$12)/7),0)&gt;3,"Poss Commute",""))</f>
        <v/>
      </c>
      <c r="H52" s="145" t="str">
        <f t="shared" si="2"/>
        <v/>
      </c>
      <c r="I52" s="106">
        <f t="shared" si="3"/>
        <v>0</v>
      </c>
      <c r="J52" s="106">
        <f t="shared" si="4"/>
        <v>0</v>
      </c>
      <c r="K52" s="163">
        <f t="shared" ca="1" si="5"/>
        <v>0</v>
      </c>
      <c r="L52" s="168"/>
      <c r="M52" s="629"/>
      <c r="N52" s="629"/>
      <c r="O52" s="629"/>
      <c r="P52" s="629"/>
      <c r="Q52" s="176"/>
      <c r="R52" s="176"/>
      <c r="S52" s="176">
        <f t="shared" si="6"/>
        <v>0</v>
      </c>
      <c r="T52" s="166">
        <f t="shared" si="1"/>
        <v>0</v>
      </c>
      <c r="U52" s="209" t="str">
        <f t="shared" si="7"/>
        <v/>
      </c>
    </row>
    <row r="53" spans="1:21" x14ac:dyDescent="0.2">
      <c r="A53" s="500"/>
      <c r="B53" s="501"/>
      <c r="C53" s="501"/>
      <c r="D53" s="500"/>
      <c r="E53" s="502"/>
      <c r="F53" s="165" t="str">
        <f t="shared" ca="1" si="0"/>
        <v/>
      </c>
      <c r="G53" s="210" t="str">
        <f>IF(OR(C53="home",$X$10=1,C53=""),"",IF(ROUNDDOWN(COUNTIF($C$12:C53,C53)/IF((A53-$A$12)&lt;7,(A53+1-$A$12)/7,(A53-$A$12)/7),0)&gt;3,"Poss Commute",""))</f>
        <v/>
      </c>
      <c r="H53" s="145" t="str">
        <f t="shared" si="2"/>
        <v/>
      </c>
      <c r="I53" s="106">
        <f t="shared" si="3"/>
        <v>0</v>
      </c>
      <c r="J53" s="106">
        <f t="shared" si="4"/>
        <v>0</v>
      </c>
      <c r="K53" s="163">
        <f t="shared" ca="1" si="5"/>
        <v>0</v>
      </c>
      <c r="L53" s="168"/>
      <c r="M53" s="629"/>
      <c r="N53" s="629"/>
      <c r="O53" s="629"/>
      <c r="P53" s="629"/>
      <c r="Q53" s="176"/>
      <c r="R53" s="176"/>
      <c r="S53" s="176">
        <f t="shared" si="6"/>
        <v>0</v>
      </c>
      <c r="T53" s="166">
        <f t="shared" si="1"/>
        <v>0</v>
      </c>
      <c r="U53" s="209" t="str">
        <f t="shared" si="7"/>
        <v/>
      </c>
    </row>
    <row r="54" spans="1:21" x14ac:dyDescent="0.2">
      <c r="A54" s="500"/>
      <c r="B54" s="501"/>
      <c r="C54" s="501"/>
      <c r="D54" s="500"/>
      <c r="E54" s="502"/>
      <c r="F54" s="165" t="str">
        <f t="shared" ca="1" si="0"/>
        <v/>
      </c>
      <c r="G54" s="210" t="str">
        <f>IF(OR(C54="home",$X$10=1,C54=""),"",IF(ROUNDDOWN(COUNTIF($C$12:C54,C54)/IF((A54-$A$12)&lt;7,(A54+1-$A$12)/7,(A54-$A$12)/7),0)&gt;3,"Poss Commute",""))</f>
        <v/>
      </c>
      <c r="H54" s="145" t="str">
        <f t="shared" si="2"/>
        <v/>
      </c>
      <c r="I54" s="106">
        <f t="shared" si="3"/>
        <v>0</v>
      </c>
      <c r="J54" s="106">
        <f t="shared" si="4"/>
        <v>0</v>
      </c>
      <c r="K54" s="163">
        <f t="shared" ca="1" si="5"/>
        <v>0</v>
      </c>
      <c r="L54" s="168"/>
      <c r="M54" s="629"/>
      <c r="N54" s="629"/>
      <c r="O54" s="629"/>
      <c r="P54" s="629"/>
      <c r="Q54" s="176"/>
      <c r="R54" s="176"/>
      <c r="S54" s="176">
        <f t="shared" si="6"/>
        <v>0</v>
      </c>
      <c r="T54" s="166">
        <f t="shared" si="1"/>
        <v>0</v>
      </c>
      <c r="U54" s="209" t="str">
        <f t="shared" si="7"/>
        <v/>
      </c>
    </row>
    <row r="55" spans="1:21" x14ac:dyDescent="0.2">
      <c r="A55" s="500"/>
      <c r="B55" s="501"/>
      <c r="C55" s="501"/>
      <c r="D55" s="500"/>
      <c r="E55" s="502"/>
      <c r="F55" s="165" t="str">
        <f t="shared" ca="1" si="0"/>
        <v/>
      </c>
      <c r="G55" s="210" t="str">
        <f>IF(OR(C55="home",$X$10=1,C55=""),"",IF(ROUNDDOWN(COUNTIF($C$12:C55,C55)/IF((A55-$A$12)&lt;7,(A55+1-$A$12)/7,(A55-$A$12)/7),0)&gt;3,"Poss Commute",""))</f>
        <v/>
      </c>
      <c r="H55" s="145" t="str">
        <f t="shared" si="2"/>
        <v/>
      </c>
      <c r="I55" s="106">
        <f t="shared" si="3"/>
        <v>0</v>
      </c>
      <c r="J55" s="106">
        <f t="shared" si="4"/>
        <v>0</v>
      </c>
      <c r="K55" s="163">
        <f t="shared" ca="1" si="5"/>
        <v>0</v>
      </c>
      <c r="L55" s="168"/>
      <c r="M55" s="629"/>
      <c r="N55" s="629"/>
      <c r="O55" s="629"/>
      <c r="P55" s="629"/>
      <c r="Q55" s="176"/>
      <c r="R55" s="176"/>
      <c r="S55" s="176">
        <f t="shared" si="6"/>
        <v>0</v>
      </c>
      <c r="T55" s="166">
        <f t="shared" si="1"/>
        <v>0</v>
      </c>
      <c r="U55" s="209" t="str">
        <f t="shared" si="7"/>
        <v/>
      </c>
    </row>
    <row r="56" spans="1:21" x14ac:dyDescent="0.2">
      <c r="A56" s="500"/>
      <c r="B56" s="501"/>
      <c r="C56" s="501"/>
      <c r="D56" s="500"/>
      <c r="E56" s="502"/>
      <c r="F56" s="165" t="str">
        <f t="shared" ca="1" si="0"/>
        <v/>
      </c>
      <c r="G56" s="210" t="str">
        <f>IF(OR(C56="home",$X$10=1,C56=""),"",IF(ROUNDDOWN(COUNTIF($C$12:C56,C56)/IF((A56-$A$12)&lt;7,(A56+1-$A$12)/7,(A56-$A$12)/7),0)&gt;3,"Poss Commute",""))</f>
        <v/>
      </c>
      <c r="H56" s="145" t="str">
        <f t="shared" si="2"/>
        <v/>
      </c>
      <c r="I56" s="106">
        <f t="shared" si="3"/>
        <v>0</v>
      </c>
      <c r="J56" s="106">
        <f t="shared" si="4"/>
        <v>0</v>
      </c>
      <c r="K56" s="163">
        <f t="shared" ca="1" si="5"/>
        <v>0</v>
      </c>
      <c r="L56" s="168"/>
      <c r="M56" s="629"/>
      <c r="N56" s="629"/>
      <c r="O56" s="629"/>
      <c r="P56" s="629"/>
      <c r="Q56" s="176"/>
      <c r="R56" s="176"/>
      <c r="S56" s="176">
        <f t="shared" si="6"/>
        <v>0</v>
      </c>
      <c r="T56" s="166">
        <f t="shared" si="1"/>
        <v>0</v>
      </c>
      <c r="U56" s="209" t="str">
        <f t="shared" si="7"/>
        <v/>
      </c>
    </row>
    <row r="57" spans="1:21" x14ac:dyDescent="0.2">
      <c r="A57" s="500"/>
      <c r="B57" s="501"/>
      <c r="C57" s="501"/>
      <c r="D57" s="500"/>
      <c r="E57" s="502"/>
      <c r="F57" s="165" t="str">
        <f t="shared" ca="1" si="0"/>
        <v/>
      </c>
      <c r="G57" s="210" t="str">
        <f>IF(OR(C57="home",$X$10=1,C57=""),"",IF(ROUNDDOWN(COUNTIF($C$12:C57,C57)/IF((A57-$A$12)&lt;7,(A57+1-$A$12)/7,(A57-$A$12)/7),0)&gt;3,"Poss Commute",""))</f>
        <v/>
      </c>
      <c r="H57" s="145" t="str">
        <f t="shared" si="2"/>
        <v/>
      </c>
      <c r="I57" s="106">
        <f t="shared" si="3"/>
        <v>0</v>
      </c>
      <c r="J57" s="106">
        <f t="shared" si="4"/>
        <v>0</v>
      </c>
      <c r="K57" s="163">
        <f t="shared" ca="1" si="5"/>
        <v>0</v>
      </c>
      <c r="L57" s="168"/>
      <c r="M57" s="629"/>
      <c r="N57" s="629"/>
      <c r="O57" s="629"/>
      <c r="P57" s="629"/>
      <c r="Q57" s="198"/>
      <c r="R57" s="198"/>
      <c r="S57" s="198">
        <f t="shared" si="6"/>
        <v>0</v>
      </c>
      <c r="T57" s="166">
        <f t="shared" si="1"/>
        <v>0</v>
      </c>
      <c r="U57" s="209" t="str">
        <f t="shared" si="7"/>
        <v/>
      </c>
    </row>
    <row r="58" spans="1:21" ht="15.75" thickBot="1" x14ac:dyDescent="0.25">
      <c r="D58" s="6" t="s">
        <v>34</v>
      </c>
      <c r="E58" s="230" t="str">
        <f>IF(F59&gt;3,SUM(E12:E57)-K58+Q58,"Please fill in")</f>
        <v>Please fill in</v>
      </c>
      <c r="F58" s="146"/>
      <c r="G58" s="146"/>
      <c r="H58" s="145">
        <f>COUNTIF(G12:G57,"PR")</f>
        <v>0</v>
      </c>
      <c r="I58" s="202">
        <f>SUM(I12:I57)</f>
        <v>0</v>
      </c>
      <c r="J58" s="202">
        <f>SUM(J12:J57)</f>
        <v>0</v>
      </c>
      <c r="K58" s="203">
        <f ca="1">SUM(K12:K57)</f>
        <v>0</v>
      </c>
      <c r="M58" s="629" t="str">
        <f>M57&amp;M56&amp;M55&amp;M54&amp;M53&amp;M52&amp;M51&amp;M50&amp;M49&amp;M48&amp;M47&amp;M46&amp;M45&amp;M44&amp;M43&amp;M42&amp;M41&amp;M40&amp;M39&amp;M38&amp;M37&amp;M36&amp;M35&amp;M34&amp;M33&amp;M32&amp;M31&amp;M30&amp;M29&amp;M28&amp;M27&amp;M26&amp;M25&amp;M24&amp;M23&amp;M22&amp;M21&amp;M20&amp;M19&amp;M18&amp;M17&amp;M16&amp;M15&amp;M14&amp;M13&amp;M12</f>
        <v/>
      </c>
      <c r="N58" s="629"/>
      <c r="O58" s="629"/>
      <c r="P58" s="629"/>
      <c r="Q58" s="199">
        <f>SUM(Q12:Q57)+S58</f>
        <v>0</v>
      </c>
      <c r="R58" s="200">
        <f>COUNTA(R12:R57)</f>
        <v>0</v>
      </c>
      <c r="S58" s="201">
        <f>SUM(S12:S57)</f>
        <v>0</v>
      </c>
      <c r="T58" s="207">
        <f>SUM(T12:T57)</f>
        <v>0</v>
      </c>
    </row>
    <row r="59" spans="1:21" ht="15.75" thickTop="1" x14ac:dyDescent="0.2">
      <c r="C59" s="296"/>
      <c r="D59" s="6" t="s">
        <v>91</v>
      </c>
      <c r="E59" s="231" t="str">
        <f>IF(F59&gt;3,IF(A12=0,new_rate,IF(A12&lt;L7,old_rate,new_rate)),"the yellow spaces")</f>
        <v>the yellow spaces</v>
      </c>
      <c r="F59" s="229">
        <f>Summary!O12</f>
        <v>1</v>
      </c>
      <c r="G59" s="146"/>
    </row>
    <row r="60" spans="1:21" x14ac:dyDescent="0.2">
      <c r="D60" s="6" t="s">
        <v>36</v>
      </c>
      <c r="E60" s="230" t="str">
        <f>IF(F59&gt;3,(E58*E59)+I58+J58,"on summary page")</f>
        <v>on summary page</v>
      </c>
      <c r="F60" s="146"/>
      <c r="G60" s="146"/>
    </row>
    <row r="61" spans="1:21" x14ac:dyDescent="0.2">
      <c r="D61" s="7" t="s">
        <v>35</v>
      </c>
      <c r="E61" s="157" t="str">
        <f>E1</f>
        <v>Gordy Decker</v>
      </c>
      <c r="F61" s="142"/>
      <c r="G61" s="142"/>
    </row>
    <row r="62" spans="1:21" x14ac:dyDescent="0.2">
      <c r="C62" s="289" t="s">
        <v>128</v>
      </c>
      <c r="D62" s="7" t="s">
        <v>109</v>
      </c>
      <c r="E62" s="81">
        <f>E2</f>
        <v>0</v>
      </c>
      <c r="F62" s="142"/>
      <c r="G62" s="142"/>
    </row>
    <row r="63" spans="1:21" x14ac:dyDescent="0.2">
      <c r="C63" s="290" t="s">
        <v>115</v>
      </c>
      <c r="D63" s="7" t="s">
        <v>108</v>
      </c>
      <c r="E63" s="139"/>
      <c r="F63" s="142"/>
      <c r="G63" s="142"/>
    </row>
    <row r="64" spans="1:21" ht="25.5" x14ac:dyDescent="0.2">
      <c r="C64" s="290" t="s">
        <v>116</v>
      </c>
      <c r="D64" s="7" t="s">
        <v>1036</v>
      </c>
      <c r="E64" s="328"/>
    </row>
    <row r="65" spans="1:20" x14ac:dyDescent="0.2">
      <c r="C65" s="291"/>
    </row>
    <row r="66" spans="1:20" x14ac:dyDescent="0.2">
      <c r="C66" s="291"/>
      <c r="E66" s="114" t="str">
        <f>E6</f>
        <v/>
      </c>
      <c r="K66" s="106" t="s">
        <v>123</v>
      </c>
      <c r="L66" s="106" t="s">
        <v>124</v>
      </c>
    </row>
    <row r="67" spans="1:20" x14ac:dyDescent="0.2">
      <c r="C67" s="292"/>
      <c r="D67" s="114" t="str">
        <f>IF(H118&gt;0,"PY=Prior Year Mileage Rate","")</f>
        <v/>
      </c>
      <c r="K67" s="147">
        <f>K68</f>
        <v>43465</v>
      </c>
      <c r="L67" s="147">
        <f>L68</f>
        <v>43466</v>
      </c>
    </row>
    <row r="68" spans="1:20" x14ac:dyDescent="0.2">
      <c r="C68" s="293"/>
      <c r="K68" s="148">
        <f>K8</f>
        <v>43465</v>
      </c>
      <c r="L68" s="148">
        <f>L8</f>
        <v>43466</v>
      </c>
    </row>
    <row r="69" spans="1:20" ht="15" customHeight="1" x14ac:dyDescent="0.2">
      <c r="A69" s="679" t="s">
        <v>28</v>
      </c>
      <c r="B69" s="681" t="s">
        <v>129</v>
      </c>
      <c r="C69" s="682"/>
      <c r="D69" s="683" t="s">
        <v>132</v>
      </c>
      <c r="E69" s="683" t="s">
        <v>34</v>
      </c>
      <c r="K69" s="150">
        <f>K9</f>
        <v>0.54500000000000004</v>
      </c>
      <c r="L69" s="150">
        <f>L9</f>
        <v>0.57999999999999996</v>
      </c>
      <c r="M69" s="144"/>
      <c r="N69" s="144"/>
    </row>
    <row r="70" spans="1:20" ht="25.5" customHeight="1" x14ac:dyDescent="0.2">
      <c r="A70" s="680"/>
      <c r="B70" s="294" t="s">
        <v>32</v>
      </c>
      <c r="C70" s="294" t="s">
        <v>33</v>
      </c>
      <c r="D70" s="684"/>
      <c r="E70" s="684"/>
      <c r="L70" s="676" t="s">
        <v>186</v>
      </c>
      <c r="M70" s="677"/>
      <c r="N70" s="677"/>
      <c r="O70" s="677"/>
      <c r="P70" s="678"/>
      <c r="Q70" s="183" t="s">
        <v>288</v>
      </c>
      <c r="R70" s="183" t="s">
        <v>508</v>
      </c>
      <c r="S70" s="183"/>
      <c r="T70" s="665" t="s">
        <v>664</v>
      </c>
    </row>
    <row r="71" spans="1:20" ht="12.75" customHeight="1" x14ac:dyDescent="0.2">
      <c r="A71" s="116" t="s">
        <v>104</v>
      </c>
      <c r="B71" s="295" t="s">
        <v>130</v>
      </c>
      <c r="C71" s="295" t="s">
        <v>131</v>
      </c>
      <c r="D71" s="685"/>
      <c r="E71" s="685"/>
      <c r="I71" s="149" t="s">
        <v>125</v>
      </c>
      <c r="J71" s="149" t="s">
        <v>126</v>
      </c>
      <c r="L71" s="167" t="s">
        <v>286</v>
      </c>
      <c r="M71" s="184" t="s">
        <v>287</v>
      </c>
      <c r="N71" s="185"/>
      <c r="O71" s="185"/>
      <c r="P71" s="186"/>
      <c r="Q71" s="187"/>
      <c r="R71" s="187"/>
      <c r="S71" s="187"/>
      <c r="T71" s="666"/>
    </row>
    <row r="72" spans="1:20" x14ac:dyDescent="0.2">
      <c r="A72" s="500"/>
      <c r="B72" s="501"/>
      <c r="C72" s="501"/>
      <c r="D72" s="500"/>
      <c r="E72" s="502"/>
      <c r="F72" s="165" t="str">
        <f t="shared" ref="F72:F117" ca="1" si="8">IF(A72&gt;0,IF(submit_date&gt;0,IF(submit_date-A72&gt;60,"disallow",""),IF(TODAY()-A72&gt;60,"disallow","")),"")</f>
        <v/>
      </c>
      <c r="G72" s="210" t="str">
        <f>IF(OR(C72="home",$X$10=1,C72=""),"",IF(ROUNDDOWN(COUNTIF($C$12:C72,C72)/IF((A72-$A$12)&lt;7,(A72+1-$A$12)/7,(A72-$A$12)/7),0)&gt;3,"Poss Commute",""))</f>
        <v/>
      </c>
      <c r="H72" s="145" t="str">
        <f>IF(A72=0,"",IF($A$12&lt;new_rate_date,"PR",IF(A72&lt;new_rate_date,"PR","")))</f>
        <v/>
      </c>
      <c r="I72" s="106">
        <f>IF($A$12&lt;new_rate_date,0,IF(H72="PR",(E72*old_rate)-(E72*new_rate),0))</f>
        <v>0</v>
      </c>
      <c r="J72" s="106">
        <f>IF($A$12&lt;new_rate_date,IF(A72&lt;new_rate_date,0,IF(H72="PR",(E72*new_rate)-(E72*old_rate),0)),0)</f>
        <v>0</v>
      </c>
      <c r="K72" s="163">
        <f ca="1">IF(AND(F72="disallow",R72=0),E72,0)</f>
        <v>0</v>
      </c>
      <c r="L72" s="168"/>
      <c r="M72" s="629"/>
      <c r="N72" s="629"/>
      <c r="O72" s="629"/>
      <c r="P72" s="629"/>
      <c r="Q72" s="176"/>
      <c r="R72" s="176"/>
      <c r="S72" s="176">
        <f>IF(R72&gt;0,-Q72,0)</f>
        <v>0</v>
      </c>
      <c r="T72" s="166">
        <f t="shared" ref="T72:T117" si="9">IF(AND(A72&lt;Fiscal_Start_Date,submit_date-A72&lt;90,submit_date&gt;=Fiscal_Start_Date),E72,0)</f>
        <v>0</v>
      </c>
    </row>
    <row r="73" spans="1:20" x14ac:dyDescent="0.2">
      <c r="A73" s="500"/>
      <c r="B73" s="501"/>
      <c r="C73" s="501"/>
      <c r="D73" s="500"/>
      <c r="E73" s="502"/>
      <c r="F73" s="165" t="str">
        <f t="shared" ca="1" si="8"/>
        <v/>
      </c>
      <c r="G73" s="210" t="str">
        <f>IF(OR(C73="home",$X$10=1,C73=""),"",IF(ROUNDDOWN(COUNTIF($C$12:C73,C73)/IF((A73-$A$12)&lt;7,(A73+1-$A$12)/7,(A73-$A$12)/7),0)&gt;3,"Poss Commute",""))</f>
        <v/>
      </c>
      <c r="H73" s="145" t="str">
        <f t="shared" ref="H73:H117" si="10">IF(A73=0,"",IF($A$12&lt;new_rate_date,"PR",IF(A73&lt;new_rate_date,"PR","")))</f>
        <v/>
      </c>
      <c r="I73" s="106">
        <f t="shared" ref="I73:I117" si="11">IF($A$12&lt;new_rate_date,0,IF(H73="PR",(E73*old_rate)-(E73*new_rate),0))</f>
        <v>0</v>
      </c>
      <c r="J73" s="106">
        <f t="shared" ref="J73:J117" si="12">IF($A$12&lt;new_rate_date,IF(A73&lt;new_rate_date,0,IF(H73="PR",(E73*new_rate)-(E73*old_rate),0)),0)</f>
        <v>0</v>
      </c>
      <c r="K73" s="163">
        <f t="shared" ref="K73:K117" ca="1" si="13">IF(AND(F73="disallow",R73=0),E73,0)</f>
        <v>0</v>
      </c>
      <c r="L73" s="168"/>
      <c r="M73" s="629"/>
      <c r="N73" s="629"/>
      <c r="O73" s="629"/>
      <c r="P73" s="629"/>
      <c r="Q73" s="176"/>
      <c r="R73" s="176"/>
      <c r="S73" s="176">
        <f>IF(R73&gt;0,-Q73,0)</f>
        <v>0</v>
      </c>
      <c r="T73" s="166">
        <f t="shared" si="9"/>
        <v>0</v>
      </c>
    </row>
    <row r="74" spans="1:20" x14ac:dyDescent="0.2">
      <c r="A74" s="500"/>
      <c r="B74" s="501"/>
      <c r="C74" s="501"/>
      <c r="D74" s="500"/>
      <c r="E74" s="502"/>
      <c r="F74" s="165" t="str">
        <f t="shared" ca="1" si="8"/>
        <v/>
      </c>
      <c r="G74" s="210" t="str">
        <f>IF(OR(C74="home",$X$10=1,C74=""),"",IF(ROUNDDOWN(COUNTIF($C$12:C74,C74)/IF((A74-$A$12)&lt;7,(A74+1-$A$12)/7,(A74-$A$12)/7),0)&gt;3,"Poss Commute",""))</f>
        <v/>
      </c>
      <c r="H74" s="145" t="str">
        <f t="shared" si="10"/>
        <v/>
      </c>
      <c r="I74" s="106">
        <f t="shared" si="11"/>
        <v>0</v>
      </c>
      <c r="J74" s="106">
        <f t="shared" si="12"/>
        <v>0</v>
      </c>
      <c r="K74" s="163">
        <f t="shared" ca="1" si="13"/>
        <v>0</v>
      </c>
      <c r="L74" s="168"/>
      <c r="M74" s="629"/>
      <c r="N74" s="629"/>
      <c r="O74" s="629"/>
      <c r="P74" s="629"/>
      <c r="Q74" s="176"/>
      <c r="R74" s="176"/>
      <c r="S74" s="176">
        <f t="shared" ref="S74:S117" si="14">IF(R74&gt;0,-Q74,0)</f>
        <v>0</v>
      </c>
      <c r="T74" s="166">
        <f t="shared" si="9"/>
        <v>0</v>
      </c>
    </row>
    <row r="75" spans="1:20" x14ac:dyDescent="0.2">
      <c r="A75" s="500"/>
      <c r="B75" s="501"/>
      <c r="C75" s="501"/>
      <c r="D75" s="500"/>
      <c r="E75" s="502"/>
      <c r="F75" s="165" t="str">
        <f t="shared" ca="1" si="8"/>
        <v/>
      </c>
      <c r="G75" s="210" t="str">
        <f>IF(OR(C75="home",$X$10=1,C75=""),"",IF(ROUNDDOWN(COUNTIF($C$12:C75,C75)/IF((A75-$A$12)&lt;7,(A75+1-$A$12)/7,(A75-$A$12)/7),0)&gt;3,"Poss Commute",""))</f>
        <v/>
      </c>
      <c r="H75" s="145" t="str">
        <f t="shared" si="10"/>
        <v/>
      </c>
      <c r="I75" s="106">
        <f t="shared" si="11"/>
        <v>0</v>
      </c>
      <c r="J75" s="106">
        <f t="shared" si="12"/>
        <v>0</v>
      </c>
      <c r="K75" s="163">
        <f t="shared" ca="1" si="13"/>
        <v>0</v>
      </c>
      <c r="L75" s="168"/>
      <c r="M75" s="629"/>
      <c r="N75" s="629"/>
      <c r="O75" s="629"/>
      <c r="P75" s="629"/>
      <c r="Q75" s="176"/>
      <c r="R75" s="176"/>
      <c r="S75" s="176">
        <f t="shared" si="14"/>
        <v>0</v>
      </c>
      <c r="T75" s="166">
        <f t="shared" si="9"/>
        <v>0</v>
      </c>
    </row>
    <row r="76" spans="1:20" x14ac:dyDescent="0.2">
      <c r="A76" s="500"/>
      <c r="B76" s="501"/>
      <c r="C76" s="501"/>
      <c r="D76" s="500"/>
      <c r="E76" s="502"/>
      <c r="F76" s="165" t="str">
        <f t="shared" ca="1" si="8"/>
        <v/>
      </c>
      <c r="G76" s="210" t="str">
        <f>IF(OR(C76="home",$X$10=1,C76=""),"",IF(ROUNDDOWN(COUNTIF($C$12:C76,C76)/IF((A76-$A$12)&lt;7,(A76+1-$A$12)/7,(A76-$A$12)/7),0)&gt;3,"Poss Commute",""))</f>
        <v/>
      </c>
      <c r="H76" s="145" t="str">
        <f t="shared" si="10"/>
        <v/>
      </c>
      <c r="I76" s="106">
        <f t="shared" si="11"/>
        <v>0</v>
      </c>
      <c r="J76" s="106">
        <f t="shared" si="12"/>
        <v>0</v>
      </c>
      <c r="K76" s="163">
        <f t="shared" ca="1" si="13"/>
        <v>0</v>
      </c>
      <c r="L76" s="168"/>
      <c r="M76" s="629"/>
      <c r="N76" s="629"/>
      <c r="O76" s="629"/>
      <c r="P76" s="629"/>
      <c r="Q76" s="176"/>
      <c r="R76" s="176"/>
      <c r="S76" s="176">
        <f t="shared" si="14"/>
        <v>0</v>
      </c>
      <c r="T76" s="166">
        <f t="shared" si="9"/>
        <v>0</v>
      </c>
    </row>
    <row r="77" spans="1:20" x14ac:dyDescent="0.2">
      <c r="A77" s="500"/>
      <c r="B77" s="501"/>
      <c r="C77" s="501"/>
      <c r="D77" s="500"/>
      <c r="E77" s="502"/>
      <c r="F77" s="165" t="str">
        <f t="shared" ca="1" si="8"/>
        <v/>
      </c>
      <c r="G77" s="210" t="str">
        <f>IF(OR(C77="home",$X$10=1,C77=""),"",IF(ROUNDDOWN(COUNTIF($C$12:C77,C77)/IF((A77-$A$12)&lt;7,(A77+1-$A$12)/7,(A77-$A$12)/7),0)&gt;3,"Poss Commute",""))</f>
        <v/>
      </c>
      <c r="H77" s="145" t="str">
        <f t="shared" si="10"/>
        <v/>
      </c>
      <c r="I77" s="106">
        <f t="shared" si="11"/>
        <v>0</v>
      </c>
      <c r="J77" s="106">
        <f t="shared" si="12"/>
        <v>0</v>
      </c>
      <c r="K77" s="163">
        <f t="shared" ca="1" si="13"/>
        <v>0</v>
      </c>
      <c r="L77" s="168"/>
      <c r="M77" s="629"/>
      <c r="N77" s="629"/>
      <c r="O77" s="629"/>
      <c r="P77" s="629"/>
      <c r="Q77" s="176"/>
      <c r="R77" s="176"/>
      <c r="S77" s="176">
        <f t="shared" si="14"/>
        <v>0</v>
      </c>
      <c r="T77" s="166">
        <f t="shared" si="9"/>
        <v>0</v>
      </c>
    </row>
    <row r="78" spans="1:20" x14ac:dyDescent="0.2">
      <c r="A78" s="500"/>
      <c r="B78" s="501"/>
      <c r="C78" s="501"/>
      <c r="D78" s="500"/>
      <c r="E78" s="502"/>
      <c r="F78" s="165" t="str">
        <f t="shared" ca="1" si="8"/>
        <v/>
      </c>
      <c r="G78" s="210" t="str">
        <f>IF(OR(C78="home",$X$10=1,C78=""),"",IF(ROUNDDOWN(COUNTIF($C$12:C78,C78)/IF((A78-$A$12)&lt;7,(A78+1-$A$12)/7,(A78-$A$12)/7),0)&gt;3,"Poss Commute",""))</f>
        <v/>
      </c>
      <c r="H78" s="145" t="str">
        <f t="shared" si="10"/>
        <v/>
      </c>
      <c r="I78" s="106">
        <f t="shared" si="11"/>
        <v>0</v>
      </c>
      <c r="J78" s="106">
        <f t="shared" si="12"/>
        <v>0</v>
      </c>
      <c r="K78" s="163">
        <f t="shared" ca="1" si="13"/>
        <v>0</v>
      </c>
      <c r="L78" s="168"/>
      <c r="M78" s="629"/>
      <c r="N78" s="629"/>
      <c r="O78" s="629"/>
      <c r="P78" s="629"/>
      <c r="Q78" s="176"/>
      <c r="R78" s="176"/>
      <c r="S78" s="176">
        <f t="shared" si="14"/>
        <v>0</v>
      </c>
      <c r="T78" s="166">
        <f t="shared" si="9"/>
        <v>0</v>
      </c>
    </row>
    <row r="79" spans="1:20" x14ac:dyDescent="0.2">
      <c r="A79" s="500"/>
      <c r="B79" s="501"/>
      <c r="C79" s="501"/>
      <c r="D79" s="500"/>
      <c r="E79" s="502"/>
      <c r="F79" s="165" t="str">
        <f t="shared" ca="1" si="8"/>
        <v/>
      </c>
      <c r="G79" s="210" t="str">
        <f>IF(OR(C79="home",$X$10=1,C79=""),"",IF(ROUNDDOWN(COUNTIF($C$12:C79,C79)/IF((A79-$A$12)&lt;7,(A79+1-$A$12)/7,(A79-$A$12)/7),0)&gt;3,"Poss Commute",""))</f>
        <v/>
      </c>
      <c r="H79" s="145" t="str">
        <f t="shared" si="10"/>
        <v/>
      </c>
      <c r="I79" s="106">
        <f t="shared" si="11"/>
        <v>0</v>
      </c>
      <c r="J79" s="106">
        <f t="shared" si="12"/>
        <v>0</v>
      </c>
      <c r="K79" s="163">
        <f t="shared" ca="1" si="13"/>
        <v>0</v>
      </c>
      <c r="L79" s="168"/>
      <c r="M79" s="629"/>
      <c r="N79" s="629"/>
      <c r="O79" s="629"/>
      <c r="P79" s="629"/>
      <c r="Q79" s="176"/>
      <c r="R79" s="176"/>
      <c r="S79" s="176">
        <f t="shared" si="14"/>
        <v>0</v>
      </c>
      <c r="T79" s="166">
        <f t="shared" si="9"/>
        <v>0</v>
      </c>
    </row>
    <row r="80" spans="1:20" x14ac:dyDescent="0.2">
      <c r="A80" s="500"/>
      <c r="B80" s="501"/>
      <c r="C80" s="501"/>
      <c r="D80" s="500"/>
      <c r="E80" s="502"/>
      <c r="F80" s="165" t="str">
        <f t="shared" ca="1" si="8"/>
        <v/>
      </c>
      <c r="G80" s="210" t="str">
        <f>IF(OR(C80="home",$X$10=1,C80=""),"",IF(ROUNDDOWN(COUNTIF($C$12:C80,C80)/IF((A80-$A$12)&lt;7,(A80+1-$A$12)/7,(A80-$A$12)/7),0)&gt;3,"Poss Commute",""))</f>
        <v/>
      </c>
      <c r="H80" s="145" t="str">
        <f t="shared" si="10"/>
        <v/>
      </c>
      <c r="I80" s="106">
        <f t="shared" si="11"/>
        <v>0</v>
      </c>
      <c r="J80" s="106">
        <f t="shared" si="12"/>
        <v>0</v>
      </c>
      <c r="K80" s="163">
        <f t="shared" ca="1" si="13"/>
        <v>0</v>
      </c>
      <c r="L80" s="168"/>
      <c r="M80" s="629"/>
      <c r="N80" s="629"/>
      <c r="O80" s="629"/>
      <c r="P80" s="629"/>
      <c r="Q80" s="176"/>
      <c r="R80" s="176"/>
      <c r="S80" s="176">
        <f t="shared" si="14"/>
        <v>0</v>
      </c>
      <c r="T80" s="166">
        <f t="shared" si="9"/>
        <v>0</v>
      </c>
    </row>
    <row r="81" spans="1:20" x14ac:dyDescent="0.2">
      <c r="A81" s="500"/>
      <c r="B81" s="501"/>
      <c r="C81" s="501"/>
      <c r="D81" s="500"/>
      <c r="E81" s="502"/>
      <c r="F81" s="165" t="str">
        <f t="shared" ca="1" si="8"/>
        <v/>
      </c>
      <c r="G81" s="210" t="str">
        <f>IF(OR(C81="home",$X$10=1,C81=""),"",IF(ROUNDDOWN(COUNTIF($C$12:C81,C81)/IF((A81-$A$12)&lt;7,(A81+1-$A$12)/7,(A81-$A$12)/7),0)&gt;3,"Poss Commute",""))</f>
        <v/>
      </c>
      <c r="H81" s="145" t="str">
        <f t="shared" si="10"/>
        <v/>
      </c>
      <c r="I81" s="106">
        <f t="shared" si="11"/>
        <v>0</v>
      </c>
      <c r="J81" s="106">
        <f t="shared" si="12"/>
        <v>0</v>
      </c>
      <c r="K81" s="163">
        <f t="shared" ca="1" si="13"/>
        <v>0</v>
      </c>
      <c r="L81" s="168"/>
      <c r="M81" s="629"/>
      <c r="N81" s="629"/>
      <c r="O81" s="629"/>
      <c r="P81" s="629"/>
      <c r="Q81" s="176"/>
      <c r="R81" s="176"/>
      <c r="S81" s="176">
        <f t="shared" si="14"/>
        <v>0</v>
      </c>
      <c r="T81" s="166">
        <f t="shared" si="9"/>
        <v>0</v>
      </c>
    </row>
    <row r="82" spans="1:20" x14ac:dyDescent="0.2">
      <c r="A82" s="500"/>
      <c r="B82" s="501"/>
      <c r="C82" s="501"/>
      <c r="D82" s="500"/>
      <c r="E82" s="502"/>
      <c r="F82" s="165" t="str">
        <f t="shared" ca="1" si="8"/>
        <v/>
      </c>
      <c r="G82" s="210" t="str">
        <f>IF(OR(C82="home",$X$10=1,C82=""),"",IF(ROUNDDOWN(COUNTIF($C$12:C82,C82)/IF((A82-$A$12)&lt;7,(A82+1-$A$12)/7,(A82-$A$12)/7),0)&gt;3,"Poss Commute",""))</f>
        <v/>
      </c>
      <c r="H82" s="145" t="str">
        <f t="shared" si="10"/>
        <v/>
      </c>
      <c r="I82" s="106">
        <f t="shared" si="11"/>
        <v>0</v>
      </c>
      <c r="J82" s="106">
        <f t="shared" si="12"/>
        <v>0</v>
      </c>
      <c r="K82" s="163">
        <f t="shared" ca="1" si="13"/>
        <v>0</v>
      </c>
      <c r="L82" s="168"/>
      <c r="M82" s="629"/>
      <c r="N82" s="629"/>
      <c r="O82" s="629"/>
      <c r="P82" s="629"/>
      <c r="Q82" s="176"/>
      <c r="R82" s="176"/>
      <c r="S82" s="176">
        <f t="shared" si="14"/>
        <v>0</v>
      </c>
      <c r="T82" s="166">
        <f t="shared" si="9"/>
        <v>0</v>
      </c>
    </row>
    <row r="83" spans="1:20" x14ac:dyDescent="0.2">
      <c r="A83" s="500"/>
      <c r="B83" s="501"/>
      <c r="C83" s="501"/>
      <c r="D83" s="500"/>
      <c r="E83" s="502"/>
      <c r="F83" s="165" t="str">
        <f t="shared" ca="1" si="8"/>
        <v/>
      </c>
      <c r="G83" s="210" t="str">
        <f>IF(OR(C83="home",$X$10=1,C83=""),"",IF(ROUNDDOWN(COUNTIF($C$12:C83,C83)/IF((A83-$A$12)&lt;7,(A83+1-$A$12)/7,(A83-$A$12)/7),0)&gt;3,"Poss Commute",""))</f>
        <v/>
      </c>
      <c r="H83" s="145" t="str">
        <f t="shared" si="10"/>
        <v/>
      </c>
      <c r="I83" s="106">
        <f t="shared" si="11"/>
        <v>0</v>
      </c>
      <c r="J83" s="106">
        <f t="shared" si="12"/>
        <v>0</v>
      </c>
      <c r="K83" s="163">
        <f t="shared" ca="1" si="13"/>
        <v>0</v>
      </c>
      <c r="L83" s="169"/>
      <c r="M83" s="629"/>
      <c r="N83" s="629"/>
      <c r="O83" s="629"/>
      <c r="P83" s="629"/>
      <c r="Q83" s="176"/>
      <c r="R83" s="176"/>
      <c r="S83" s="176">
        <f t="shared" si="14"/>
        <v>0</v>
      </c>
      <c r="T83" s="166">
        <f t="shared" si="9"/>
        <v>0</v>
      </c>
    </row>
    <row r="84" spans="1:20" x14ac:dyDescent="0.2">
      <c r="A84" s="500"/>
      <c r="B84" s="501"/>
      <c r="C84" s="501"/>
      <c r="D84" s="500"/>
      <c r="E84" s="502"/>
      <c r="F84" s="165" t="str">
        <f t="shared" ca="1" si="8"/>
        <v/>
      </c>
      <c r="G84" s="210" t="str">
        <f>IF(OR(C84="home",$X$10=1,C84=""),"",IF(ROUNDDOWN(COUNTIF($C$12:C84,C84)/IF((A84-$A$12)&lt;7,(A84+1-$A$12)/7,(A84-$A$12)/7),0)&gt;3,"Poss Commute",""))</f>
        <v/>
      </c>
      <c r="H84" s="145" t="str">
        <f t="shared" si="10"/>
        <v/>
      </c>
      <c r="I84" s="106">
        <f t="shared" si="11"/>
        <v>0</v>
      </c>
      <c r="J84" s="106">
        <f t="shared" si="12"/>
        <v>0</v>
      </c>
      <c r="K84" s="163">
        <f t="shared" ca="1" si="13"/>
        <v>0</v>
      </c>
      <c r="L84" s="168"/>
      <c r="M84" s="629"/>
      <c r="N84" s="629"/>
      <c r="O84" s="629"/>
      <c r="P84" s="629"/>
      <c r="Q84" s="176"/>
      <c r="R84" s="176"/>
      <c r="S84" s="176">
        <f t="shared" si="14"/>
        <v>0</v>
      </c>
      <c r="T84" s="166">
        <f t="shared" si="9"/>
        <v>0</v>
      </c>
    </row>
    <row r="85" spans="1:20" x14ac:dyDescent="0.2">
      <c r="A85" s="500"/>
      <c r="B85" s="501"/>
      <c r="C85" s="501"/>
      <c r="D85" s="500"/>
      <c r="E85" s="502"/>
      <c r="F85" s="165" t="str">
        <f t="shared" ca="1" si="8"/>
        <v/>
      </c>
      <c r="G85" s="210" t="str">
        <f>IF(OR(C85="home",$X$10=1,C85=""),"",IF(ROUNDDOWN(COUNTIF($C$12:C85,C85)/IF((A85-$A$12)&lt;7,(A85+1-$A$12)/7,(A85-$A$12)/7),0)&gt;3,"Poss Commute",""))</f>
        <v/>
      </c>
      <c r="H85" s="145" t="str">
        <f t="shared" si="10"/>
        <v/>
      </c>
      <c r="I85" s="106">
        <f t="shared" si="11"/>
        <v>0</v>
      </c>
      <c r="J85" s="106">
        <f t="shared" si="12"/>
        <v>0</v>
      </c>
      <c r="K85" s="163">
        <f t="shared" ca="1" si="13"/>
        <v>0</v>
      </c>
      <c r="L85" s="168"/>
      <c r="M85" s="629"/>
      <c r="N85" s="629"/>
      <c r="O85" s="629"/>
      <c r="P85" s="629"/>
      <c r="Q85" s="176"/>
      <c r="R85" s="176"/>
      <c r="S85" s="176">
        <f t="shared" si="14"/>
        <v>0</v>
      </c>
      <c r="T85" s="166">
        <f t="shared" si="9"/>
        <v>0</v>
      </c>
    </row>
    <row r="86" spans="1:20" x14ac:dyDescent="0.2">
      <c r="A86" s="500"/>
      <c r="B86" s="501"/>
      <c r="C86" s="501"/>
      <c r="D86" s="500"/>
      <c r="E86" s="502"/>
      <c r="F86" s="165" t="str">
        <f t="shared" ca="1" si="8"/>
        <v/>
      </c>
      <c r="G86" s="210" t="str">
        <f>IF(OR(C86="home",$X$10=1,C86=""),"",IF(ROUNDDOWN(COUNTIF($C$12:C86,C86)/IF((A86-$A$12)&lt;7,(A86+1-$A$12)/7,(A86-$A$12)/7),0)&gt;3,"Poss Commute",""))</f>
        <v/>
      </c>
      <c r="H86" s="145" t="str">
        <f t="shared" si="10"/>
        <v/>
      </c>
      <c r="I86" s="106">
        <f t="shared" si="11"/>
        <v>0</v>
      </c>
      <c r="J86" s="106">
        <f t="shared" si="12"/>
        <v>0</v>
      </c>
      <c r="K86" s="163">
        <f t="shared" ca="1" si="13"/>
        <v>0</v>
      </c>
      <c r="L86" s="168"/>
      <c r="M86" s="629"/>
      <c r="N86" s="629"/>
      <c r="O86" s="629"/>
      <c r="P86" s="629"/>
      <c r="Q86" s="176"/>
      <c r="R86" s="176"/>
      <c r="S86" s="176">
        <f t="shared" si="14"/>
        <v>0</v>
      </c>
      <c r="T86" s="166">
        <f t="shared" si="9"/>
        <v>0</v>
      </c>
    </row>
    <row r="87" spans="1:20" x14ac:dyDescent="0.2">
      <c r="A87" s="500"/>
      <c r="B87" s="501"/>
      <c r="C87" s="501"/>
      <c r="D87" s="500"/>
      <c r="E87" s="502"/>
      <c r="F87" s="165" t="str">
        <f t="shared" ca="1" si="8"/>
        <v/>
      </c>
      <c r="G87" s="210" t="str">
        <f>IF(OR(C87="home",$X$10=1,C87=""),"",IF(ROUNDDOWN(COUNTIF($C$12:C87,C87)/IF((A87-$A$12)&lt;7,(A87+1-$A$12)/7,(A87-$A$12)/7),0)&gt;3,"Poss Commute",""))</f>
        <v/>
      </c>
      <c r="H87" s="145" t="str">
        <f t="shared" si="10"/>
        <v/>
      </c>
      <c r="I87" s="106">
        <f t="shared" si="11"/>
        <v>0</v>
      </c>
      <c r="J87" s="106">
        <f t="shared" si="12"/>
        <v>0</v>
      </c>
      <c r="K87" s="163">
        <f t="shared" ca="1" si="13"/>
        <v>0</v>
      </c>
      <c r="L87" s="168"/>
      <c r="M87" s="629"/>
      <c r="N87" s="629"/>
      <c r="O87" s="629"/>
      <c r="P87" s="629"/>
      <c r="Q87" s="176"/>
      <c r="R87" s="176"/>
      <c r="S87" s="176">
        <f t="shared" si="14"/>
        <v>0</v>
      </c>
      <c r="T87" s="166">
        <f t="shared" si="9"/>
        <v>0</v>
      </c>
    </row>
    <row r="88" spans="1:20" x14ac:dyDescent="0.2">
      <c r="A88" s="500"/>
      <c r="B88" s="501"/>
      <c r="C88" s="501"/>
      <c r="D88" s="500"/>
      <c r="E88" s="502"/>
      <c r="F88" s="165" t="str">
        <f t="shared" ca="1" si="8"/>
        <v/>
      </c>
      <c r="G88" s="210" t="str">
        <f>IF(OR(C88="home",$X$10=1,C88=""),"",IF(ROUNDDOWN(COUNTIF($C$12:C88,C88)/IF((A88-$A$12)&lt;7,(A88+1-$A$12)/7,(A88-$A$12)/7),0)&gt;3,"Poss Commute",""))</f>
        <v/>
      </c>
      <c r="H88" s="145" t="str">
        <f t="shared" si="10"/>
        <v/>
      </c>
      <c r="I88" s="106">
        <f t="shared" si="11"/>
        <v>0</v>
      </c>
      <c r="J88" s="106">
        <f t="shared" si="12"/>
        <v>0</v>
      </c>
      <c r="K88" s="163">
        <f t="shared" ca="1" si="13"/>
        <v>0</v>
      </c>
      <c r="L88" s="168"/>
      <c r="M88" s="629"/>
      <c r="N88" s="629"/>
      <c r="O88" s="629"/>
      <c r="P88" s="629"/>
      <c r="Q88" s="176"/>
      <c r="R88" s="176"/>
      <c r="S88" s="176">
        <f t="shared" si="14"/>
        <v>0</v>
      </c>
      <c r="T88" s="166">
        <f t="shared" si="9"/>
        <v>0</v>
      </c>
    </row>
    <row r="89" spans="1:20" x14ac:dyDescent="0.2">
      <c r="A89" s="500"/>
      <c r="B89" s="501"/>
      <c r="C89" s="501"/>
      <c r="D89" s="500"/>
      <c r="E89" s="502"/>
      <c r="F89" s="165" t="str">
        <f t="shared" ca="1" si="8"/>
        <v/>
      </c>
      <c r="G89" s="210" t="str">
        <f>IF(OR(C89="home",$X$10=1,C89=""),"",IF(ROUNDDOWN(COUNTIF($C$12:C89,C89)/IF((A89-$A$12)&lt;7,(A89+1-$A$12)/7,(A89-$A$12)/7),0)&gt;3,"Poss Commute",""))</f>
        <v/>
      </c>
      <c r="H89" s="145" t="str">
        <f t="shared" si="10"/>
        <v/>
      </c>
      <c r="I89" s="106">
        <f t="shared" si="11"/>
        <v>0</v>
      </c>
      <c r="J89" s="106">
        <f t="shared" si="12"/>
        <v>0</v>
      </c>
      <c r="K89" s="163">
        <f t="shared" ca="1" si="13"/>
        <v>0</v>
      </c>
      <c r="L89" s="168"/>
      <c r="M89" s="629"/>
      <c r="N89" s="629"/>
      <c r="O89" s="629"/>
      <c r="P89" s="629"/>
      <c r="Q89" s="176"/>
      <c r="R89" s="176"/>
      <c r="S89" s="176">
        <f t="shared" si="14"/>
        <v>0</v>
      </c>
      <c r="T89" s="166">
        <f t="shared" si="9"/>
        <v>0</v>
      </c>
    </row>
    <row r="90" spans="1:20" x14ac:dyDescent="0.2">
      <c r="A90" s="500"/>
      <c r="B90" s="501"/>
      <c r="C90" s="501"/>
      <c r="D90" s="500"/>
      <c r="E90" s="502"/>
      <c r="F90" s="165" t="str">
        <f t="shared" ca="1" si="8"/>
        <v/>
      </c>
      <c r="G90" s="210" t="str">
        <f>IF(OR(C90="home",$X$10=1,C90=""),"",IF(ROUNDDOWN(COUNTIF($C$12:C90,C90)/IF((A90-$A$12)&lt;7,(A90+1-$A$12)/7,(A90-$A$12)/7),0)&gt;3,"Poss Commute",""))</f>
        <v/>
      </c>
      <c r="H90" s="145" t="str">
        <f t="shared" si="10"/>
        <v/>
      </c>
      <c r="I90" s="106">
        <f t="shared" si="11"/>
        <v>0</v>
      </c>
      <c r="J90" s="106">
        <f t="shared" si="12"/>
        <v>0</v>
      </c>
      <c r="K90" s="163">
        <f t="shared" ca="1" si="13"/>
        <v>0</v>
      </c>
      <c r="L90" s="168"/>
      <c r="M90" s="629"/>
      <c r="N90" s="629"/>
      <c r="O90" s="629"/>
      <c r="P90" s="629"/>
      <c r="Q90" s="176"/>
      <c r="R90" s="176"/>
      <c r="S90" s="176">
        <f t="shared" si="14"/>
        <v>0</v>
      </c>
      <c r="T90" s="166">
        <f t="shared" si="9"/>
        <v>0</v>
      </c>
    </row>
    <row r="91" spans="1:20" x14ac:dyDescent="0.2">
      <c r="A91" s="500"/>
      <c r="B91" s="501"/>
      <c r="C91" s="501"/>
      <c r="D91" s="500"/>
      <c r="E91" s="502"/>
      <c r="F91" s="165" t="str">
        <f t="shared" ca="1" si="8"/>
        <v/>
      </c>
      <c r="G91" s="210" t="str">
        <f>IF(OR(C91="home",$X$10=1,C91=""),"",IF(ROUNDDOWN(COUNTIF($C$12:C91,C91)/IF((A91-$A$12)&lt;7,(A91+1-$A$12)/7,(A91-$A$12)/7),0)&gt;3,"Poss Commute",""))</f>
        <v/>
      </c>
      <c r="H91" s="145" t="str">
        <f t="shared" si="10"/>
        <v/>
      </c>
      <c r="I91" s="106">
        <f t="shared" si="11"/>
        <v>0</v>
      </c>
      <c r="J91" s="106">
        <f t="shared" si="12"/>
        <v>0</v>
      </c>
      <c r="K91" s="163">
        <f t="shared" ca="1" si="13"/>
        <v>0</v>
      </c>
      <c r="L91" s="168"/>
      <c r="M91" s="629"/>
      <c r="N91" s="629"/>
      <c r="O91" s="629"/>
      <c r="P91" s="629"/>
      <c r="Q91" s="176"/>
      <c r="R91" s="176"/>
      <c r="S91" s="176">
        <f t="shared" si="14"/>
        <v>0</v>
      </c>
      <c r="T91" s="166">
        <f t="shared" si="9"/>
        <v>0</v>
      </c>
    </row>
    <row r="92" spans="1:20" x14ac:dyDescent="0.2">
      <c r="A92" s="500"/>
      <c r="B92" s="501"/>
      <c r="C92" s="501"/>
      <c r="D92" s="500"/>
      <c r="E92" s="502"/>
      <c r="F92" s="165" t="str">
        <f t="shared" ca="1" si="8"/>
        <v/>
      </c>
      <c r="G92" s="210" t="str">
        <f>IF(OR(C92="home",$X$10=1,C92=""),"",IF(ROUNDDOWN(COUNTIF($C$12:C92,C92)/IF((A92-$A$12)&lt;7,(A92+1-$A$12)/7,(A92-$A$12)/7),0)&gt;3,"Poss Commute",""))</f>
        <v/>
      </c>
      <c r="H92" s="145" t="str">
        <f t="shared" si="10"/>
        <v/>
      </c>
      <c r="I92" s="106">
        <f t="shared" si="11"/>
        <v>0</v>
      </c>
      <c r="J92" s="106">
        <f t="shared" si="12"/>
        <v>0</v>
      </c>
      <c r="K92" s="163">
        <f t="shared" ca="1" si="13"/>
        <v>0</v>
      </c>
      <c r="L92" s="168"/>
      <c r="M92" s="629"/>
      <c r="N92" s="629"/>
      <c r="O92" s="629"/>
      <c r="P92" s="629"/>
      <c r="Q92" s="176"/>
      <c r="R92" s="176"/>
      <c r="S92" s="176">
        <f t="shared" si="14"/>
        <v>0</v>
      </c>
      <c r="T92" s="166">
        <f t="shared" si="9"/>
        <v>0</v>
      </c>
    </row>
    <row r="93" spans="1:20" x14ac:dyDescent="0.2">
      <c r="A93" s="500"/>
      <c r="B93" s="501"/>
      <c r="C93" s="501"/>
      <c r="D93" s="500"/>
      <c r="E93" s="502"/>
      <c r="F93" s="165" t="str">
        <f t="shared" ca="1" si="8"/>
        <v/>
      </c>
      <c r="G93" s="210" t="str">
        <f>IF(OR(C93="home",$X$10=1,C93=""),"",IF(ROUNDDOWN(COUNTIF($C$12:C93,C93)/IF((A93-$A$12)&lt;7,(A93+1-$A$12)/7,(A93-$A$12)/7),0)&gt;3,"Poss Commute",""))</f>
        <v/>
      </c>
      <c r="H93" s="145" t="str">
        <f t="shared" si="10"/>
        <v/>
      </c>
      <c r="I93" s="106">
        <f t="shared" si="11"/>
        <v>0</v>
      </c>
      <c r="J93" s="106">
        <f t="shared" si="12"/>
        <v>0</v>
      </c>
      <c r="K93" s="163">
        <f t="shared" ca="1" si="13"/>
        <v>0</v>
      </c>
      <c r="L93" s="168"/>
      <c r="M93" s="629"/>
      <c r="N93" s="629"/>
      <c r="O93" s="629"/>
      <c r="P93" s="629"/>
      <c r="Q93" s="176"/>
      <c r="R93" s="176"/>
      <c r="S93" s="176">
        <f t="shared" si="14"/>
        <v>0</v>
      </c>
      <c r="T93" s="166">
        <f t="shared" si="9"/>
        <v>0</v>
      </c>
    </row>
    <row r="94" spans="1:20" x14ac:dyDescent="0.2">
      <c r="A94" s="500"/>
      <c r="B94" s="501"/>
      <c r="C94" s="501"/>
      <c r="D94" s="500"/>
      <c r="E94" s="502"/>
      <c r="F94" s="165" t="str">
        <f t="shared" ca="1" si="8"/>
        <v/>
      </c>
      <c r="G94" s="210" t="str">
        <f>IF(OR(C94="home",$X$10=1,C94=""),"",IF(ROUNDDOWN(COUNTIF($C$12:C94,C94)/IF((A94-$A$12)&lt;7,(A94+1-$A$12)/7,(A94-$A$12)/7),0)&gt;3,"Poss Commute",""))</f>
        <v/>
      </c>
      <c r="H94" s="145" t="str">
        <f t="shared" si="10"/>
        <v/>
      </c>
      <c r="I94" s="106">
        <f t="shared" si="11"/>
        <v>0</v>
      </c>
      <c r="J94" s="106">
        <f t="shared" si="12"/>
        <v>0</v>
      </c>
      <c r="K94" s="163">
        <f t="shared" ca="1" si="13"/>
        <v>0</v>
      </c>
      <c r="L94" s="168"/>
      <c r="M94" s="629"/>
      <c r="N94" s="629"/>
      <c r="O94" s="629"/>
      <c r="P94" s="629"/>
      <c r="Q94" s="176"/>
      <c r="R94" s="176"/>
      <c r="S94" s="176">
        <f t="shared" si="14"/>
        <v>0</v>
      </c>
      <c r="T94" s="166">
        <f t="shared" si="9"/>
        <v>0</v>
      </c>
    </row>
    <row r="95" spans="1:20" x14ac:dyDescent="0.2">
      <c r="A95" s="500"/>
      <c r="B95" s="501"/>
      <c r="C95" s="501"/>
      <c r="D95" s="500"/>
      <c r="E95" s="502"/>
      <c r="F95" s="165" t="str">
        <f t="shared" ca="1" si="8"/>
        <v/>
      </c>
      <c r="G95" s="210" t="str">
        <f>IF(OR(C95="home",$X$10=1,C95=""),"",IF(ROUNDDOWN(COUNTIF($C$12:C95,C95)/IF((A95-$A$12)&lt;7,(A95+1-$A$12)/7,(A95-$A$12)/7),0)&gt;3,"Poss Commute",""))</f>
        <v/>
      </c>
      <c r="H95" s="145" t="str">
        <f t="shared" si="10"/>
        <v/>
      </c>
      <c r="I95" s="106">
        <f t="shared" si="11"/>
        <v>0</v>
      </c>
      <c r="J95" s="106">
        <f t="shared" si="12"/>
        <v>0</v>
      </c>
      <c r="K95" s="163">
        <f t="shared" ca="1" si="13"/>
        <v>0</v>
      </c>
      <c r="L95" s="168"/>
      <c r="M95" s="629"/>
      <c r="N95" s="629"/>
      <c r="O95" s="629"/>
      <c r="P95" s="629"/>
      <c r="Q95" s="176"/>
      <c r="R95" s="176"/>
      <c r="S95" s="176">
        <f t="shared" si="14"/>
        <v>0</v>
      </c>
      <c r="T95" s="166">
        <f t="shared" si="9"/>
        <v>0</v>
      </c>
    </row>
    <row r="96" spans="1:20" x14ac:dyDescent="0.2">
      <c r="A96" s="500"/>
      <c r="B96" s="501"/>
      <c r="C96" s="501"/>
      <c r="D96" s="500"/>
      <c r="E96" s="502"/>
      <c r="F96" s="165" t="str">
        <f t="shared" ca="1" si="8"/>
        <v/>
      </c>
      <c r="G96" s="210" t="str">
        <f>IF(OR(C96="home",$X$10=1,C96=""),"",IF(ROUNDDOWN(COUNTIF($C$12:C96,C96)/IF((A96-$A$12)&lt;7,(A96+1-$A$12)/7,(A96-$A$12)/7),0)&gt;3,"Poss Commute",""))</f>
        <v/>
      </c>
      <c r="H96" s="145" t="str">
        <f t="shared" si="10"/>
        <v/>
      </c>
      <c r="I96" s="106">
        <f t="shared" si="11"/>
        <v>0</v>
      </c>
      <c r="J96" s="106">
        <f t="shared" si="12"/>
        <v>0</v>
      </c>
      <c r="K96" s="163">
        <f t="shared" ca="1" si="13"/>
        <v>0</v>
      </c>
      <c r="L96" s="168"/>
      <c r="M96" s="629"/>
      <c r="N96" s="629"/>
      <c r="O96" s="629"/>
      <c r="P96" s="629"/>
      <c r="Q96" s="176"/>
      <c r="R96" s="176"/>
      <c r="S96" s="176">
        <f t="shared" si="14"/>
        <v>0</v>
      </c>
      <c r="T96" s="166">
        <f t="shared" si="9"/>
        <v>0</v>
      </c>
    </row>
    <row r="97" spans="1:20" x14ac:dyDescent="0.2">
      <c r="A97" s="500"/>
      <c r="B97" s="501"/>
      <c r="C97" s="501"/>
      <c r="D97" s="500"/>
      <c r="E97" s="502"/>
      <c r="F97" s="165" t="str">
        <f t="shared" ca="1" si="8"/>
        <v/>
      </c>
      <c r="G97" s="210" t="str">
        <f>IF(OR(C97="home",$X$10=1,C97=""),"",IF(ROUNDDOWN(COUNTIF($C$12:C97,C97)/IF((A97-$A$12)&lt;7,(A97+1-$A$12)/7,(A97-$A$12)/7),0)&gt;3,"Poss Commute",""))</f>
        <v/>
      </c>
      <c r="H97" s="145" t="str">
        <f t="shared" si="10"/>
        <v/>
      </c>
      <c r="I97" s="106">
        <f t="shared" si="11"/>
        <v>0</v>
      </c>
      <c r="J97" s="106">
        <f t="shared" si="12"/>
        <v>0</v>
      </c>
      <c r="K97" s="163">
        <f t="shared" ca="1" si="13"/>
        <v>0</v>
      </c>
      <c r="L97" s="168"/>
      <c r="M97" s="629"/>
      <c r="N97" s="629"/>
      <c r="O97" s="629"/>
      <c r="P97" s="629"/>
      <c r="Q97" s="176"/>
      <c r="R97" s="176"/>
      <c r="S97" s="176">
        <f t="shared" si="14"/>
        <v>0</v>
      </c>
      <c r="T97" s="166">
        <f t="shared" si="9"/>
        <v>0</v>
      </c>
    </row>
    <row r="98" spans="1:20" x14ac:dyDescent="0.2">
      <c r="A98" s="500"/>
      <c r="B98" s="501"/>
      <c r="C98" s="501"/>
      <c r="D98" s="500"/>
      <c r="E98" s="502"/>
      <c r="F98" s="165" t="str">
        <f t="shared" ca="1" si="8"/>
        <v/>
      </c>
      <c r="G98" s="210" t="str">
        <f>IF(OR(C98="home",$X$10=1,C98=""),"",IF(ROUNDDOWN(COUNTIF($C$12:C98,C98)/IF((A98-$A$12)&lt;7,(A98+1-$A$12)/7,(A98-$A$12)/7),0)&gt;3,"Poss Commute",""))</f>
        <v/>
      </c>
      <c r="H98" s="145" t="str">
        <f t="shared" si="10"/>
        <v/>
      </c>
      <c r="I98" s="106">
        <f t="shared" si="11"/>
        <v>0</v>
      </c>
      <c r="J98" s="106">
        <f t="shared" si="12"/>
        <v>0</v>
      </c>
      <c r="K98" s="163">
        <f t="shared" ca="1" si="13"/>
        <v>0</v>
      </c>
      <c r="L98" s="168"/>
      <c r="M98" s="629"/>
      <c r="N98" s="629"/>
      <c r="O98" s="629"/>
      <c r="P98" s="629"/>
      <c r="Q98" s="176"/>
      <c r="R98" s="176"/>
      <c r="S98" s="176">
        <f t="shared" si="14"/>
        <v>0</v>
      </c>
      <c r="T98" s="166">
        <f t="shared" si="9"/>
        <v>0</v>
      </c>
    </row>
    <row r="99" spans="1:20" x14ac:dyDescent="0.2">
      <c r="A99" s="500"/>
      <c r="B99" s="501"/>
      <c r="C99" s="501"/>
      <c r="D99" s="500"/>
      <c r="E99" s="502"/>
      <c r="F99" s="165" t="str">
        <f t="shared" ca="1" si="8"/>
        <v/>
      </c>
      <c r="G99" s="210" t="str">
        <f>IF(OR(C99="home",$X$10=1,C99=""),"",IF(ROUNDDOWN(COUNTIF($C$12:C99,C99)/IF((A99-$A$12)&lt;7,(A99+1-$A$12)/7,(A99-$A$12)/7),0)&gt;3,"Poss Commute",""))</f>
        <v/>
      </c>
      <c r="H99" s="145" t="str">
        <f t="shared" si="10"/>
        <v/>
      </c>
      <c r="I99" s="106">
        <f t="shared" si="11"/>
        <v>0</v>
      </c>
      <c r="J99" s="106">
        <f t="shared" si="12"/>
        <v>0</v>
      </c>
      <c r="K99" s="163">
        <f t="shared" ca="1" si="13"/>
        <v>0</v>
      </c>
      <c r="L99" s="168"/>
      <c r="M99" s="629"/>
      <c r="N99" s="629"/>
      <c r="O99" s="629"/>
      <c r="P99" s="629"/>
      <c r="Q99" s="176"/>
      <c r="R99" s="176"/>
      <c r="S99" s="176">
        <f t="shared" si="14"/>
        <v>0</v>
      </c>
      <c r="T99" s="166">
        <f t="shared" si="9"/>
        <v>0</v>
      </c>
    </row>
    <row r="100" spans="1:20" x14ac:dyDescent="0.2">
      <c r="A100" s="500"/>
      <c r="B100" s="501"/>
      <c r="C100" s="501"/>
      <c r="D100" s="500"/>
      <c r="E100" s="502"/>
      <c r="F100" s="165" t="str">
        <f t="shared" ca="1" si="8"/>
        <v/>
      </c>
      <c r="G100" s="210" t="str">
        <f>IF(OR(C100="home",$X$10=1,C100=""),"",IF(ROUNDDOWN(COUNTIF($C$12:C100,C100)/IF((A100-$A$12)&lt;7,(A100+1-$A$12)/7,(A100-$A$12)/7),0)&gt;3,"Poss Commute",""))</f>
        <v/>
      </c>
      <c r="H100" s="145" t="str">
        <f t="shared" si="10"/>
        <v/>
      </c>
      <c r="I100" s="106">
        <f t="shared" si="11"/>
        <v>0</v>
      </c>
      <c r="J100" s="106">
        <f t="shared" si="12"/>
        <v>0</v>
      </c>
      <c r="K100" s="163">
        <f t="shared" ca="1" si="13"/>
        <v>0</v>
      </c>
      <c r="L100" s="168"/>
      <c r="M100" s="629"/>
      <c r="N100" s="629"/>
      <c r="O100" s="629"/>
      <c r="P100" s="629"/>
      <c r="Q100" s="176"/>
      <c r="R100" s="176"/>
      <c r="S100" s="176">
        <f t="shared" si="14"/>
        <v>0</v>
      </c>
      <c r="T100" s="166">
        <f t="shared" si="9"/>
        <v>0</v>
      </c>
    </row>
    <row r="101" spans="1:20" x14ac:dyDescent="0.2">
      <c r="A101" s="500"/>
      <c r="B101" s="501"/>
      <c r="C101" s="501"/>
      <c r="D101" s="500"/>
      <c r="E101" s="502"/>
      <c r="F101" s="165" t="str">
        <f t="shared" ca="1" si="8"/>
        <v/>
      </c>
      <c r="G101" s="210" t="str">
        <f>IF(OR(C101="home",$X$10=1,C101=""),"",IF(ROUNDDOWN(COUNTIF($C$12:C101,C101)/IF((A101-$A$12)&lt;7,(A101+1-$A$12)/7,(A101-$A$12)/7),0)&gt;3,"Poss Commute",""))</f>
        <v/>
      </c>
      <c r="H101" s="145" t="str">
        <f t="shared" si="10"/>
        <v/>
      </c>
      <c r="I101" s="106">
        <f t="shared" si="11"/>
        <v>0</v>
      </c>
      <c r="J101" s="106">
        <f t="shared" si="12"/>
        <v>0</v>
      </c>
      <c r="K101" s="163">
        <f t="shared" ca="1" si="13"/>
        <v>0</v>
      </c>
      <c r="L101" s="168"/>
      <c r="M101" s="629"/>
      <c r="N101" s="629"/>
      <c r="O101" s="629"/>
      <c r="P101" s="629"/>
      <c r="Q101" s="176"/>
      <c r="R101" s="176"/>
      <c r="S101" s="176">
        <f t="shared" si="14"/>
        <v>0</v>
      </c>
      <c r="T101" s="166">
        <f t="shared" si="9"/>
        <v>0</v>
      </c>
    </row>
    <row r="102" spans="1:20" x14ac:dyDescent="0.2">
      <c r="A102" s="500"/>
      <c r="B102" s="501"/>
      <c r="C102" s="501"/>
      <c r="D102" s="500"/>
      <c r="E102" s="502"/>
      <c r="F102" s="165" t="str">
        <f t="shared" ca="1" si="8"/>
        <v/>
      </c>
      <c r="G102" s="210" t="str">
        <f>IF(OR(C102="home",$X$10=1,C102=""),"",IF(ROUNDDOWN(COUNTIF($C$12:C102,C102)/IF((A102-$A$12)&lt;7,(A102+1-$A$12)/7,(A102-$A$12)/7),0)&gt;3,"Poss Commute",""))</f>
        <v/>
      </c>
      <c r="H102" s="145" t="str">
        <f t="shared" si="10"/>
        <v/>
      </c>
      <c r="I102" s="106">
        <f t="shared" si="11"/>
        <v>0</v>
      </c>
      <c r="J102" s="106">
        <f t="shared" si="12"/>
        <v>0</v>
      </c>
      <c r="K102" s="163">
        <f t="shared" ca="1" si="13"/>
        <v>0</v>
      </c>
      <c r="L102" s="168"/>
      <c r="M102" s="629"/>
      <c r="N102" s="629"/>
      <c r="O102" s="629"/>
      <c r="P102" s="629"/>
      <c r="Q102" s="176"/>
      <c r="R102" s="176"/>
      <c r="S102" s="176">
        <f t="shared" si="14"/>
        <v>0</v>
      </c>
      <c r="T102" s="166">
        <f t="shared" si="9"/>
        <v>0</v>
      </c>
    </row>
    <row r="103" spans="1:20" x14ac:dyDescent="0.2">
      <c r="A103" s="500"/>
      <c r="B103" s="501"/>
      <c r="C103" s="501"/>
      <c r="D103" s="500"/>
      <c r="E103" s="502"/>
      <c r="F103" s="165" t="str">
        <f t="shared" ca="1" si="8"/>
        <v/>
      </c>
      <c r="G103" s="210" t="str">
        <f>IF(OR(C103="home",$X$10=1,C103=""),"",IF(ROUNDDOWN(COUNTIF($C$12:C103,C103)/IF((A103-$A$12)&lt;7,(A103+1-$A$12)/7,(A103-$A$12)/7),0)&gt;3,"Poss Commute",""))</f>
        <v/>
      </c>
      <c r="H103" s="145" t="str">
        <f t="shared" si="10"/>
        <v/>
      </c>
      <c r="I103" s="106">
        <f t="shared" si="11"/>
        <v>0</v>
      </c>
      <c r="J103" s="106">
        <f t="shared" si="12"/>
        <v>0</v>
      </c>
      <c r="K103" s="163">
        <f t="shared" ca="1" si="13"/>
        <v>0</v>
      </c>
      <c r="L103" s="168"/>
      <c r="M103" s="629"/>
      <c r="N103" s="629"/>
      <c r="O103" s="629"/>
      <c r="P103" s="629"/>
      <c r="Q103" s="176"/>
      <c r="R103" s="176"/>
      <c r="S103" s="176">
        <f t="shared" si="14"/>
        <v>0</v>
      </c>
      <c r="T103" s="166">
        <f t="shared" si="9"/>
        <v>0</v>
      </c>
    </row>
    <row r="104" spans="1:20" x14ac:dyDescent="0.2">
      <c r="A104" s="500"/>
      <c r="B104" s="501"/>
      <c r="C104" s="501"/>
      <c r="D104" s="500"/>
      <c r="E104" s="502"/>
      <c r="F104" s="165" t="str">
        <f t="shared" ca="1" si="8"/>
        <v/>
      </c>
      <c r="G104" s="210" t="str">
        <f>IF(OR(C104="home",$X$10=1,C104=""),"",IF(ROUNDDOWN(COUNTIF($C$12:C104,C104)/IF((A104-$A$12)&lt;7,(A104+1-$A$12)/7,(A104-$A$12)/7),0)&gt;3,"Poss Commute",""))</f>
        <v/>
      </c>
      <c r="H104" s="145" t="str">
        <f t="shared" si="10"/>
        <v/>
      </c>
      <c r="I104" s="106">
        <f t="shared" si="11"/>
        <v>0</v>
      </c>
      <c r="J104" s="106">
        <f t="shared" si="12"/>
        <v>0</v>
      </c>
      <c r="K104" s="163">
        <f t="shared" ca="1" si="13"/>
        <v>0</v>
      </c>
      <c r="L104" s="168"/>
      <c r="M104" s="629"/>
      <c r="N104" s="629"/>
      <c r="O104" s="629"/>
      <c r="P104" s="629"/>
      <c r="Q104" s="176"/>
      <c r="R104" s="176"/>
      <c r="S104" s="176">
        <f t="shared" si="14"/>
        <v>0</v>
      </c>
      <c r="T104" s="166">
        <f t="shared" si="9"/>
        <v>0</v>
      </c>
    </row>
    <row r="105" spans="1:20" x14ac:dyDescent="0.2">
      <c r="A105" s="500"/>
      <c r="B105" s="501"/>
      <c r="C105" s="501"/>
      <c r="D105" s="500"/>
      <c r="E105" s="502"/>
      <c r="F105" s="165" t="str">
        <f t="shared" ca="1" si="8"/>
        <v/>
      </c>
      <c r="G105" s="210" t="str">
        <f>IF(OR(C105="home",$X$10=1,C105=""),"",IF(ROUNDDOWN(COUNTIF($C$12:C105,C105)/IF((A105-$A$12)&lt;7,(A105+1-$A$12)/7,(A105-$A$12)/7),0)&gt;3,"Poss Commute",""))</f>
        <v/>
      </c>
      <c r="H105" s="145" t="str">
        <f t="shared" si="10"/>
        <v/>
      </c>
      <c r="I105" s="106">
        <f t="shared" si="11"/>
        <v>0</v>
      </c>
      <c r="J105" s="106">
        <f t="shared" si="12"/>
        <v>0</v>
      </c>
      <c r="K105" s="163">
        <f t="shared" ca="1" si="13"/>
        <v>0</v>
      </c>
      <c r="L105" s="168"/>
      <c r="M105" s="629"/>
      <c r="N105" s="629"/>
      <c r="O105" s="629"/>
      <c r="P105" s="629"/>
      <c r="Q105" s="176"/>
      <c r="R105" s="176"/>
      <c r="S105" s="176">
        <f t="shared" si="14"/>
        <v>0</v>
      </c>
      <c r="T105" s="166">
        <f t="shared" si="9"/>
        <v>0</v>
      </c>
    </row>
    <row r="106" spans="1:20" x14ac:dyDescent="0.2">
      <c r="A106" s="500"/>
      <c r="B106" s="501"/>
      <c r="C106" s="501"/>
      <c r="D106" s="500"/>
      <c r="E106" s="502"/>
      <c r="F106" s="165" t="str">
        <f t="shared" ca="1" si="8"/>
        <v/>
      </c>
      <c r="G106" s="210" t="str">
        <f>IF(OR(C106="home",$X$10=1,C106=""),"",IF(ROUNDDOWN(COUNTIF($C$12:C106,C106)/IF((A106-$A$12)&lt;7,(A106+1-$A$12)/7,(A106-$A$12)/7),0)&gt;3,"Poss Commute",""))</f>
        <v/>
      </c>
      <c r="H106" s="145" t="str">
        <f t="shared" si="10"/>
        <v/>
      </c>
      <c r="I106" s="106">
        <f t="shared" si="11"/>
        <v>0</v>
      </c>
      <c r="J106" s="106">
        <f t="shared" si="12"/>
        <v>0</v>
      </c>
      <c r="K106" s="163">
        <f t="shared" ca="1" si="13"/>
        <v>0</v>
      </c>
      <c r="L106" s="168"/>
      <c r="M106" s="629"/>
      <c r="N106" s="629"/>
      <c r="O106" s="629"/>
      <c r="P106" s="629"/>
      <c r="Q106" s="176"/>
      <c r="R106" s="176"/>
      <c r="S106" s="176">
        <f t="shared" si="14"/>
        <v>0</v>
      </c>
      <c r="T106" s="166">
        <f t="shared" si="9"/>
        <v>0</v>
      </c>
    </row>
    <row r="107" spans="1:20" x14ac:dyDescent="0.2">
      <c r="A107" s="500"/>
      <c r="B107" s="501"/>
      <c r="C107" s="501"/>
      <c r="D107" s="500"/>
      <c r="E107" s="502"/>
      <c r="F107" s="165" t="str">
        <f t="shared" ca="1" si="8"/>
        <v/>
      </c>
      <c r="G107" s="210" t="str">
        <f>IF(OR(C107="home",$X$10=1,C107=""),"",IF(ROUNDDOWN(COUNTIF($C$12:C107,C107)/IF((A107-$A$12)&lt;7,(A107+1-$A$12)/7,(A107-$A$12)/7),0)&gt;3,"Poss Commute",""))</f>
        <v/>
      </c>
      <c r="H107" s="145" t="str">
        <f t="shared" si="10"/>
        <v/>
      </c>
      <c r="I107" s="106">
        <f t="shared" si="11"/>
        <v>0</v>
      </c>
      <c r="J107" s="106">
        <f t="shared" si="12"/>
        <v>0</v>
      </c>
      <c r="K107" s="163">
        <f t="shared" ca="1" si="13"/>
        <v>0</v>
      </c>
      <c r="L107" s="168"/>
      <c r="M107" s="629"/>
      <c r="N107" s="629"/>
      <c r="O107" s="629"/>
      <c r="P107" s="629"/>
      <c r="Q107" s="176"/>
      <c r="R107" s="176"/>
      <c r="S107" s="176">
        <f t="shared" si="14"/>
        <v>0</v>
      </c>
      <c r="T107" s="166">
        <f t="shared" si="9"/>
        <v>0</v>
      </c>
    </row>
    <row r="108" spans="1:20" x14ac:dyDescent="0.2">
      <c r="A108" s="500"/>
      <c r="B108" s="501"/>
      <c r="C108" s="501"/>
      <c r="D108" s="500"/>
      <c r="E108" s="502"/>
      <c r="F108" s="165" t="str">
        <f t="shared" ca="1" si="8"/>
        <v/>
      </c>
      <c r="G108" s="210" t="str">
        <f>IF(OR(C108="home",$X$10=1,C108=""),"",IF(ROUNDDOWN(COUNTIF($C$12:C108,C108)/IF((A108-$A$12)&lt;7,(A108+1-$A$12)/7,(A108-$A$12)/7),0)&gt;3,"Poss Commute",""))</f>
        <v/>
      </c>
      <c r="H108" s="145" t="str">
        <f t="shared" si="10"/>
        <v/>
      </c>
      <c r="I108" s="106">
        <f t="shared" si="11"/>
        <v>0</v>
      </c>
      <c r="J108" s="106">
        <f t="shared" si="12"/>
        <v>0</v>
      </c>
      <c r="K108" s="163">
        <f t="shared" ca="1" si="13"/>
        <v>0</v>
      </c>
      <c r="L108" s="168"/>
      <c r="M108" s="629"/>
      <c r="N108" s="629"/>
      <c r="O108" s="629"/>
      <c r="P108" s="629"/>
      <c r="Q108" s="176"/>
      <c r="R108" s="176"/>
      <c r="S108" s="176">
        <f t="shared" si="14"/>
        <v>0</v>
      </c>
      <c r="T108" s="166">
        <f t="shared" si="9"/>
        <v>0</v>
      </c>
    </row>
    <row r="109" spans="1:20" x14ac:dyDescent="0.2">
      <c r="A109" s="500"/>
      <c r="B109" s="501"/>
      <c r="C109" s="501"/>
      <c r="D109" s="500"/>
      <c r="E109" s="502"/>
      <c r="F109" s="165" t="str">
        <f t="shared" ca="1" si="8"/>
        <v/>
      </c>
      <c r="G109" s="210" t="str">
        <f>IF(OR(C109="home",$X$10=1,C109=""),"",IF(ROUNDDOWN(COUNTIF($C$12:C109,C109)/IF((A109-$A$12)&lt;7,(A109+1-$A$12)/7,(A109-$A$12)/7),0)&gt;3,"Poss Commute",""))</f>
        <v/>
      </c>
      <c r="H109" s="145" t="str">
        <f t="shared" si="10"/>
        <v/>
      </c>
      <c r="I109" s="106">
        <f t="shared" si="11"/>
        <v>0</v>
      </c>
      <c r="J109" s="106">
        <f t="shared" si="12"/>
        <v>0</v>
      </c>
      <c r="K109" s="163">
        <f t="shared" ca="1" si="13"/>
        <v>0</v>
      </c>
      <c r="L109" s="168"/>
      <c r="M109" s="629"/>
      <c r="N109" s="629"/>
      <c r="O109" s="629"/>
      <c r="P109" s="629"/>
      <c r="Q109" s="176"/>
      <c r="R109" s="176"/>
      <c r="S109" s="176">
        <f t="shared" si="14"/>
        <v>0</v>
      </c>
      <c r="T109" s="166">
        <f t="shared" si="9"/>
        <v>0</v>
      </c>
    </row>
    <row r="110" spans="1:20" x14ac:dyDescent="0.2">
      <c r="A110" s="500"/>
      <c r="B110" s="501"/>
      <c r="C110" s="501"/>
      <c r="D110" s="500"/>
      <c r="E110" s="502"/>
      <c r="F110" s="165" t="str">
        <f t="shared" ca="1" si="8"/>
        <v/>
      </c>
      <c r="G110" s="210" t="str">
        <f>IF(OR(C110="home",$X$10=1,C110=""),"",IF(ROUNDDOWN(COUNTIF($C$12:C110,C110)/IF((A110-$A$12)&lt;7,(A110+1-$A$12)/7,(A110-$A$12)/7),0)&gt;3,"Poss Commute",""))</f>
        <v/>
      </c>
      <c r="H110" s="145" t="str">
        <f t="shared" si="10"/>
        <v/>
      </c>
      <c r="I110" s="106">
        <f t="shared" si="11"/>
        <v>0</v>
      </c>
      <c r="J110" s="106">
        <f t="shared" si="12"/>
        <v>0</v>
      </c>
      <c r="K110" s="163">
        <f t="shared" ca="1" si="13"/>
        <v>0</v>
      </c>
      <c r="L110" s="168"/>
      <c r="M110" s="629"/>
      <c r="N110" s="629"/>
      <c r="O110" s="629"/>
      <c r="P110" s="629"/>
      <c r="Q110" s="176"/>
      <c r="R110" s="176"/>
      <c r="S110" s="176">
        <f t="shared" si="14"/>
        <v>0</v>
      </c>
      <c r="T110" s="166">
        <f t="shared" si="9"/>
        <v>0</v>
      </c>
    </row>
    <row r="111" spans="1:20" x14ac:dyDescent="0.2">
      <c r="A111" s="500"/>
      <c r="B111" s="501"/>
      <c r="C111" s="501"/>
      <c r="D111" s="500"/>
      <c r="E111" s="502"/>
      <c r="F111" s="165" t="str">
        <f t="shared" ca="1" si="8"/>
        <v/>
      </c>
      <c r="G111" s="210" t="str">
        <f>IF(OR(C111="home",$X$10=1,C111=""),"",IF(ROUNDDOWN(COUNTIF($C$12:C111,C111)/IF((A111-$A$12)&lt;7,(A111+1-$A$12)/7,(A111-$A$12)/7),0)&gt;3,"Poss Commute",""))</f>
        <v/>
      </c>
      <c r="H111" s="145" t="str">
        <f t="shared" si="10"/>
        <v/>
      </c>
      <c r="I111" s="106">
        <f t="shared" si="11"/>
        <v>0</v>
      </c>
      <c r="J111" s="106">
        <f t="shared" si="12"/>
        <v>0</v>
      </c>
      <c r="K111" s="163">
        <f t="shared" ca="1" si="13"/>
        <v>0</v>
      </c>
      <c r="L111" s="168"/>
      <c r="M111" s="629"/>
      <c r="N111" s="629"/>
      <c r="O111" s="629"/>
      <c r="P111" s="629"/>
      <c r="Q111" s="176"/>
      <c r="R111" s="176"/>
      <c r="S111" s="176">
        <f t="shared" si="14"/>
        <v>0</v>
      </c>
      <c r="T111" s="166">
        <f t="shared" si="9"/>
        <v>0</v>
      </c>
    </row>
    <row r="112" spans="1:20" x14ac:dyDescent="0.2">
      <c r="A112" s="500"/>
      <c r="B112" s="501"/>
      <c r="C112" s="501"/>
      <c r="D112" s="500"/>
      <c r="E112" s="502"/>
      <c r="F112" s="165" t="str">
        <f t="shared" ca="1" si="8"/>
        <v/>
      </c>
      <c r="G112" s="210" t="str">
        <f>IF(OR(C112="home",$X$10=1,C112=""),"",IF(ROUNDDOWN(COUNTIF($C$12:C112,C112)/IF((A112-$A$12)&lt;7,(A112+1-$A$12)/7,(A112-$A$12)/7),0)&gt;3,"Poss Commute",""))</f>
        <v/>
      </c>
      <c r="H112" s="145" t="str">
        <f t="shared" si="10"/>
        <v/>
      </c>
      <c r="I112" s="106">
        <f t="shared" si="11"/>
        <v>0</v>
      </c>
      <c r="J112" s="106">
        <f t="shared" si="12"/>
        <v>0</v>
      </c>
      <c r="K112" s="163">
        <f t="shared" ca="1" si="13"/>
        <v>0</v>
      </c>
      <c r="L112" s="168"/>
      <c r="M112" s="629"/>
      <c r="N112" s="629"/>
      <c r="O112" s="629"/>
      <c r="P112" s="629"/>
      <c r="Q112" s="176"/>
      <c r="R112" s="176"/>
      <c r="S112" s="176">
        <f t="shared" si="14"/>
        <v>0</v>
      </c>
      <c r="T112" s="166">
        <f t="shared" si="9"/>
        <v>0</v>
      </c>
    </row>
    <row r="113" spans="1:20" x14ac:dyDescent="0.2">
      <c r="A113" s="500"/>
      <c r="B113" s="501"/>
      <c r="C113" s="501"/>
      <c r="D113" s="500"/>
      <c r="E113" s="502"/>
      <c r="F113" s="165" t="str">
        <f t="shared" ca="1" si="8"/>
        <v/>
      </c>
      <c r="G113" s="210" t="str">
        <f>IF(OR(C113="home",$X$10=1,C113=""),"",IF(ROUNDDOWN(COUNTIF($C$12:C113,C113)/IF((A113-$A$12)&lt;7,(A113+1-$A$12)/7,(A113-$A$12)/7),0)&gt;3,"Poss Commute",""))</f>
        <v/>
      </c>
      <c r="H113" s="145" t="str">
        <f t="shared" si="10"/>
        <v/>
      </c>
      <c r="I113" s="106">
        <f t="shared" si="11"/>
        <v>0</v>
      </c>
      <c r="J113" s="106">
        <f t="shared" si="12"/>
        <v>0</v>
      </c>
      <c r="K113" s="163">
        <f t="shared" ca="1" si="13"/>
        <v>0</v>
      </c>
      <c r="L113" s="168"/>
      <c r="M113" s="629"/>
      <c r="N113" s="629"/>
      <c r="O113" s="629"/>
      <c r="P113" s="629"/>
      <c r="Q113" s="176"/>
      <c r="R113" s="176"/>
      <c r="S113" s="176">
        <f t="shared" si="14"/>
        <v>0</v>
      </c>
      <c r="T113" s="166">
        <f t="shared" si="9"/>
        <v>0</v>
      </c>
    </row>
    <row r="114" spans="1:20" x14ac:dyDescent="0.2">
      <c r="A114" s="500"/>
      <c r="B114" s="501"/>
      <c r="C114" s="501"/>
      <c r="D114" s="500"/>
      <c r="E114" s="502"/>
      <c r="F114" s="165" t="str">
        <f t="shared" ca="1" si="8"/>
        <v/>
      </c>
      <c r="G114" s="210" t="str">
        <f>IF(OR(C114="home",$X$10=1,C114=""),"",IF(ROUNDDOWN(COUNTIF($C$12:C114,C114)/IF((A114-$A$12)&lt;7,(A114+1-$A$12)/7,(A114-$A$12)/7),0)&gt;3,"Poss Commute",""))</f>
        <v/>
      </c>
      <c r="H114" s="145" t="str">
        <f t="shared" si="10"/>
        <v/>
      </c>
      <c r="I114" s="106">
        <f t="shared" si="11"/>
        <v>0</v>
      </c>
      <c r="J114" s="106">
        <f t="shared" si="12"/>
        <v>0</v>
      </c>
      <c r="K114" s="163">
        <f t="shared" ca="1" si="13"/>
        <v>0</v>
      </c>
      <c r="L114" s="168"/>
      <c r="M114" s="629"/>
      <c r="N114" s="629"/>
      <c r="O114" s="629"/>
      <c r="P114" s="629"/>
      <c r="Q114" s="176"/>
      <c r="R114" s="176"/>
      <c r="S114" s="176">
        <f t="shared" si="14"/>
        <v>0</v>
      </c>
      <c r="T114" s="166">
        <f t="shared" si="9"/>
        <v>0</v>
      </c>
    </row>
    <row r="115" spans="1:20" x14ac:dyDescent="0.2">
      <c r="A115" s="500"/>
      <c r="B115" s="501"/>
      <c r="C115" s="501"/>
      <c r="D115" s="500"/>
      <c r="E115" s="502"/>
      <c r="F115" s="165" t="str">
        <f t="shared" ca="1" si="8"/>
        <v/>
      </c>
      <c r="G115" s="210" t="str">
        <f>IF(OR(C115="home",$X$10=1,C115=""),"",IF(ROUNDDOWN(COUNTIF($C$12:C115,C115)/IF((A115-$A$12)&lt;7,(A115+1-$A$12)/7,(A115-$A$12)/7),0)&gt;3,"Poss Commute",""))</f>
        <v/>
      </c>
      <c r="H115" s="145" t="str">
        <f t="shared" si="10"/>
        <v/>
      </c>
      <c r="I115" s="106">
        <f t="shared" si="11"/>
        <v>0</v>
      </c>
      <c r="J115" s="106">
        <f t="shared" si="12"/>
        <v>0</v>
      </c>
      <c r="K115" s="163">
        <f t="shared" ca="1" si="13"/>
        <v>0</v>
      </c>
      <c r="L115" s="168"/>
      <c r="M115" s="629"/>
      <c r="N115" s="629"/>
      <c r="O115" s="629"/>
      <c r="P115" s="629"/>
      <c r="Q115" s="176"/>
      <c r="R115" s="176"/>
      <c r="S115" s="176">
        <f t="shared" si="14"/>
        <v>0</v>
      </c>
      <c r="T115" s="166">
        <f t="shared" si="9"/>
        <v>0</v>
      </c>
    </row>
    <row r="116" spans="1:20" x14ac:dyDescent="0.2">
      <c r="A116" s="500"/>
      <c r="B116" s="501"/>
      <c r="C116" s="501"/>
      <c r="D116" s="500"/>
      <c r="E116" s="502"/>
      <c r="F116" s="165" t="str">
        <f t="shared" ca="1" si="8"/>
        <v/>
      </c>
      <c r="G116" s="210" t="str">
        <f>IF(OR(C116="home",$X$10=1,C116=""),"",IF(ROUNDDOWN(COUNTIF($C$12:C116,C116)/IF((A116-$A$12)&lt;7,(A116+1-$A$12)/7,(A116-$A$12)/7),0)&gt;3,"Poss Commute",""))</f>
        <v/>
      </c>
      <c r="H116" s="145" t="str">
        <f t="shared" si="10"/>
        <v/>
      </c>
      <c r="I116" s="106">
        <f t="shared" si="11"/>
        <v>0</v>
      </c>
      <c r="J116" s="106">
        <f t="shared" si="12"/>
        <v>0</v>
      </c>
      <c r="K116" s="163">
        <f t="shared" ca="1" si="13"/>
        <v>0</v>
      </c>
      <c r="L116" s="168"/>
      <c r="M116" s="629"/>
      <c r="N116" s="629"/>
      <c r="O116" s="629"/>
      <c r="P116" s="629"/>
      <c r="Q116" s="176"/>
      <c r="R116" s="176"/>
      <c r="S116" s="176">
        <f t="shared" si="14"/>
        <v>0</v>
      </c>
      <c r="T116" s="166">
        <f t="shared" si="9"/>
        <v>0</v>
      </c>
    </row>
    <row r="117" spans="1:20" x14ac:dyDescent="0.2">
      <c r="A117" s="500"/>
      <c r="B117" s="501"/>
      <c r="C117" s="501"/>
      <c r="D117" s="500"/>
      <c r="E117" s="502"/>
      <c r="F117" s="165" t="str">
        <f t="shared" ca="1" si="8"/>
        <v/>
      </c>
      <c r="G117" s="210" t="str">
        <f>IF(OR(C117="home",$X$10=1,C117=""),"",IF(ROUNDDOWN(COUNTIF($C$12:C117,C117)/IF((A117-$A$12)&lt;7,(A117+1-$A$12)/7,(A117-$A$12)/7),0)&gt;3,"Poss Commute",""))</f>
        <v/>
      </c>
      <c r="H117" s="145" t="str">
        <f t="shared" si="10"/>
        <v/>
      </c>
      <c r="I117" s="106">
        <f t="shared" si="11"/>
        <v>0</v>
      </c>
      <c r="J117" s="106">
        <f t="shared" si="12"/>
        <v>0</v>
      </c>
      <c r="K117" s="163">
        <f t="shared" ca="1" si="13"/>
        <v>0</v>
      </c>
      <c r="L117" s="168"/>
      <c r="M117" s="629"/>
      <c r="N117" s="629"/>
      <c r="O117" s="629"/>
      <c r="P117" s="629"/>
      <c r="Q117" s="198"/>
      <c r="R117" s="198"/>
      <c r="S117" s="198">
        <f t="shared" si="14"/>
        <v>0</v>
      </c>
      <c r="T117" s="166">
        <f t="shared" si="9"/>
        <v>0</v>
      </c>
    </row>
    <row r="118" spans="1:20" ht="15.75" thickBot="1" x14ac:dyDescent="0.25">
      <c r="D118" s="6" t="s">
        <v>34</v>
      </c>
      <c r="E118" s="230" t="str">
        <f>IF(F119&gt;3,SUM(E72:E117)-K118+Q118,"Please fill in")</f>
        <v>Please fill in</v>
      </c>
      <c r="F118" s="146"/>
      <c r="G118" s="146"/>
      <c r="H118" s="145">
        <f>COUNTIF(G72:G117,"PR")</f>
        <v>0</v>
      </c>
      <c r="I118" s="202">
        <f>SUM(I72:I117)</f>
        <v>0</v>
      </c>
      <c r="J118" s="202">
        <f>SUM(J72:J117)</f>
        <v>0</v>
      </c>
      <c r="K118" s="203">
        <f ca="1">SUM(K72:K117)</f>
        <v>0</v>
      </c>
      <c r="M118" s="629" t="str">
        <f>M117&amp;M116&amp;M115&amp;M114&amp;M113&amp;M112&amp;M111&amp;M110&amp;M109&amp;M108&amp;M107&amp;M106&amp;M105&amp;M104&amp;M103&amp;M102&amp;M101&amp;M100&amp;M99&amp;M98&amp;M97&amp;M96&amp;M95&amp;M94&amp;M93&amp;M92&amp;M91&amp;M90&amp;M89&amp;M88&amp;M87&amp;M86&amp;M85&amp;M84&amp;M83&amp;M82&amp;M81&amp;M80&amp;M79&amp;M78&amp;M77&amp;M76&amp;M75&amp;M74&amp;M73&amp;M72</f>
        <v/>
      </c>
      <c r="N118" s="629"/>
      <c r="O118" s="629"/>
      <c r="P118" s="629"/>
      <c r="Q118" s="199">
        <f>SUM(Q72:Q117)+S118</f>
        <v>0</v>
      </c>
      <c r="R118" s="200">
        <f>COUNTA(R72:R117)</f>
        <v>0</v>
      </c>
      <c r="S118" s="201">
        <f>SUM(S72:S117)</f>
        <v>0</v>
      </c>
      <c r="T118" s="207">
        <f>SUM(T72:T117)</f>
        <v>0</v>
      </c>
    </row>
    <row r="119" spans="1:20" ht="15.75" thickTop="1" x14ac:dyDescent="0.2">
      <c r="C119" s="296"/>
      <c r="D119" s="6" t="s">
        <v>91</v>
      </c>
      <c r="E119" s="231" t="str">
        <f>IF(F119&gt;3,IF(A72=0,new_rate,IF(A72&lt;L67,old_rate,new_rate)),"the yellow spaces")</f>
        <v>the yellow spaces</v>
      </c>
      <c r="F119" s="229">
        <f>F59</f>
        <v>1</v>
      </c>
      <c r="G119" s="146"/>
    </row>
    <row r="120" spans="1:20" x14ac:dyDescent="0.2">
      <c r="D120" s="6" t="s">
        <v>36</v>
      </c>
      <c r="E120" s="230" t="str">
        <f>IF(F119&gt;3,(E118*E119)+I118+J118,"on summary page")</f>
        <v>on summary page</v>
      </c>
      <c r="F120" s="146"/>
      <c r="G120" s="146"/>
    </row>
    <row r="121" spans="1:20" x14ac:dyDescent="0.2">
      <c r="D121" s="7" t="s">
        <v>35</v>
      </c>
      <c r="E121" s="157" t="str">
        <f>E61</f>
        <v>Gordy Decker</v>
      </c>
      <c r="F121" s="142"/>
      <c r="G121" s="142"/>
    </row>
    <row r="122" spans="1:20" x14ac:dyDescent="0.2">
      <c r="C122" s="289" t="s">
        <v>128</v>
      </c>
      <c r="D122" s="7" t="s">
        <v>109</v>
      </c>
      <c r="E122" s="81">
        <f>E62</f>
        <v>0</v>
      </c>
      <c r="F122" s="142"/>
      <c r="G122" s="142"/>
    </row>
    <row r="123" spans="1:20" x14ac:dyDescent="0.2">
      <c r="C123" s="290" t="s">
        <v>115</v>
      </c>
      <c r="D123" s="7" t="s">
        <v>108</v>
      </c>
      <c r="E123" s="139"/>
      <c r="F123" s="142"/>
      <c r="G123" s="142"/>
    </row>
    <row r="124" spans="1:20" ht="25.5" x14ac:dyDescent="0.2">
      <c r="C124" s="290" t="s">
        <v>116</v>
      </c>
      <c r="D124" s="7" t="s">
        <v>1036</v>
      </c>
      <c r="E124" s="328"/>
    </row>
    <row r="125" spans="1:20" x14ac:dyDescent="0.2">
      <c r="C125" s="291"/>
      <c r="E125" s="140"/>
    </row>
    <row r="126" spans="1:20" x14ac:dyDescent="0.2">
      <c r="C126" s="291"/>
      <c r="E126" s="114" t="str">
        <f>E66</f>
        <v/>
      </c>
      <c r="K126" s="106" t="s">
        <v>123</v>
      </c>
      <c r="L126" s="106" t="s">
        <v>124</v>
      </c>
    </row>
    <row r="127" spans="1:20" x14ac:dyDescent="0.2">
      <c r="C127" s="292"/>
      <c r="D127" s="114" t="str">
        <f>IF(H178&gt;0,"PY=Prior Year Mileage Rate","")</f>
        <v/>
      </c>
      <c r="K127" s="147">
        <f>K128</f>
        <v>43465</v>
      </c>
      <c r="L127" s="147">
        <f>L128</f>
        <v>43466</v>
      </c>
    </row>
    <row r="128" spans="1:20" x14ac:dyDescent="0.2">
      <c r="C128" s="293"/>
      <c r="K128" s="148">
        <f>K68</f>
        <v>43465</v>
      </c>
      <c r="L128" s="148">
        <f>L68</f>
        <v>43466</v>
      </c>
    </row>
    <row r="129" spans="1:20" ht="15" customHeight="1" x14ac:dyDescent="0.2">
      <c r="A129" s="679" t="s">
        <v>28</v>
      </c>
      <c r="B129" s="681" t="s">
        <v>129</v>
      </c>
      <c r="C129" s="682"/>
      <c r="D129" s="683" t="s">
        <v>132</v>
      </c>
      <c r="E129" s="683" t="s">
        <v>34</v>
      </c>
      <c r="K129" s="150">
        <f>K69</f>
        <v>0.54500000000000004</v>
      </c>
      <c r="L129" s="150">
        <f>L69</f>
        <v>0.57999999999999996</v>
      </c>
      <c r="M129" s="144"/>
      <c r="N129" s="144"/>
    </row>
    <row r="130" spans="1:20" ht="25.5" customHeight="1" x14ac:dyDescent="0.2">
      <c r="A130" s="680"/>
      <c r="B130" s="294" t="s">
        <v>32</v>
      </c>
      <c r="C130" s="294" t="s">
        <v>33</v>
      </c>
      <c r="D130" s="684"/>
      <c r="E130" s="684"/>
      <c r="L130" s="676" t="s">
        <v>186</v>
      </c>
      <c r="M130" s="677"/>
      <c r="N130" s="677"/>
      <c r="O130" s="677"/>
      <c r="P130" s="678"/>
      <c r="Q130" s="183" t="s">
        <v>288</v>
      </c>
      <c r="R130" s="183" t="s">
        <v>508</v>
      </c>
      <c r="S130" s="183"/>
      <c r="T130" s="665" t="s">
        <v>664</v>
      </c>
    </row>
    <row r="131" spans="1:20" ht="12.75" customHeight="1" x14ac:dyDescent="0.2">
      <c r="A131" s="116" t="s">
        <v>104</v>
      </c>
      <c r="B131" s="295" t="s">
        <v>130</v>
      </c>
      <c r="C131" s="295" t="s">
        <v>131</v>
      </c>
      <c r="D131" s="685"/>
      <c r="E131" s="685"/>
      <c r="I131" s="149" t="s">
        <v>125</v>
      </c>
      <c r="J131" s="149" t="s">
        <v>126</v>
      </c>
      <c r="L131" s="167" t="s">
        <v>286</v>
      </c>
      <c r="M131" s="184" t="s">
        <v>287</v>
      </c>
      <c r="N131" s="185"/>
      <c r="O131" s="185"/>
      <c r="P131" s="186"/>
      <c r="Q131" s="187"/>
      <c r="R131" s="187"/>
      <c r="S131" s="187"/>
      <c r="T131" s="666"/>
    </row>
    <row r="132" spans="1:20" x14ac:dyDescent="0.2">
      <c r="A132" s="500"/>
      <c r="B132" s="501"/>
      <c r="C132" s="501"/>
      <c r="D132" s="500"/>
      <c r="E132" s="502"/>
      <c r="F132" s="165" t="str">
        <f t="shared" ref="F132:F177" ca="1" si="15">IF(A132&gt;0,IF(submit_date&gt;0,IF(submit_date-A132&gt;60,"disallow",""),IF(TODAY()-A132&gt;60,"disallow","")),"")</f>
        <v/>
      </c>
      <c r="G132" s="210" t="str">
        <f>IF(OR(C132="home",$X$10=1,C132=""),"",IF(ROUNDDOWN(COUNTIF($C$12:C132,C132)/IF((A132-$A$12)&lt;7,(A132+1-$A$12)/7,(A132-$A$12)/7),0)&gt;3,"Poss Commute",""))</f>
        <v/>
      </c>
      <c r="H132" s="145" t="str">
        <f>IF(A132=0,"",IF($A$12&lt;new_rate_date,"PR",IF(A132&lt;new_rate_date,"PR","")))</f>
        <v/>
      </c>
      <c r="I132" s="106">
        <f>IF($A$12&lt;new_rate_date,0,IF(H132="PR",(E132*old_rate)-(E132*new_rate),0))</f>
        <v>0</v>
      </c>
      <c r="J132" s="106">
        <f>IF($A$12&lt;new_rate_date,IF(A132&lt;new_rate_date,0,IF(H132="PR",(E132*new_rate)-(E132*old_rate),0)),0)</f>
        <v>0</v>
      </c>
      <c r="K132" s="163">
        <f ca="1">IF(AND(F132="disallow",R132=0),E132,0)</f>
        <v>0</v>
      </c>
      <c r="L132" s="168"/>
      <c r="M132" s="629"/>
      <c r="N132" s="629"/>
      <c r="O132" s="629"/>
      <c r="P132" s="629"/>
      <c r="Q132" s="176"/>
      <c r="R132" s="176"/>
      <c r="S132" s="176">
        <f>IF(R132&gt;0,-Q132,0)</f>
        <v>0</v>
      </c>
      <c r="T132" s="166">
        <f t="shared" ref="T132:T177" si="16">IF(AND(A132&lt;Fiscal_Start_Date,submit_date-A132&lt;90,submit_date&gt;=Fiscal_Start_Date),E132,0)</f>
        <v>0</v>
      </c>
    </row>
    <row r="133" spans="1:20" x14ac:dyDescent="0.2">
      <c r="A133" s="500"/>
      <c r="B133" s="501"/>
      <c r="C133" s="501"/>
      <c r="D133" s="500"/>
      <c r="E133" s="502"/>
      <c r="F133" s="165" t="str">
        <f t="shared" ca="1" si="15"/>
        <v/>
      </c>
      <c r="G133" s="210" t="str">
        <f>IF(OR(C133="home",$X$10=1,C133=""),"",IF(ROUNDDOWN(COUNTIF($C$12:C133,C133)/IF((A133-$A$12)&lt;7,(A133+1-$A$12)/7,(A133-$A$12)/7),0)&gt;3,"Poss Commute",""))</f>
        <v/>
      </c>
      <c r="H133" s="145" t="str">
        <f t="shared" ref="H133:H177" si="17">IF(A133=0,"",IF($A$12&lt;new_rate_date,"PR",IF(A133&lt;new_rate_date,"PR","")))</f>
        <v/>
      </c>
      <c r="I133" s="106">
        <f t="shared" ref="I133:I177" si="18">IF($A$12&lt;new_rate_date,0,IF(H133="PR",(E133*old_rate)-(E133*new_rate),0))</f>
        <v>0</v>
      </c>
      <c r="J133" s="106">
        <f t="shared" ref="J133:J177" si="19">IF($A$12&lt;new_rate_date,IF(A133&lt;new_rate_date,0,IF(H133="PR",(E133*new_rate)-(E133*old_rate),0)),0)</f>
        <v>0</v>
      </c>
      <c r="K133" s="163">
        <f t="shared" ref="K133:K177" ca="1" si="20">IF(AND(F133="disallow",R133=0),E133,0)</f>
        <v>0</v>
      </c>
      <c r="L133" s="168"/>
      <c r="M133" s="629"/>
      <c r="N133" s="629"/>
      <c r="O133" s="629"/>
      <c r="P133" s="629"/>
      <c r="Q133" s="176"/>
      <c r="R133" s="176"/>
      <c r="S133" s="176">
        <f>IF(R133&gt;0,-Q133,0)</f>
        <v>0</v>
      </c>
      <c r="T133" s="166">
        <f t="shared" si="16"/>
        <v>0</v>
      </c>
    </row>
    <row r="134" spans="1:20" x14ac:dyDescent="0.2">
      <c r="A134" s="500"/>
      <c r="B134" s="501"/>
      <c r="C134" s="501"/>
      <c r="D134" s="500"/>
      <c r="E134" s="502"/>
      <c r="F134" s="165" t="str">
        <f t="shared" ca="1" si="15"/>
        <v/>
      </c>
      <c r="G134" s="210" t="str">
        <f>IF(OR(C134="home",$X$10=1,C134=""),"",IF(ROUNDDOWN(COUNTIF($C$12:C134,C134)/IF((A134-$A$12)&lt;7,(A134+1-$A$12)/7,(A134-$A$12)/7),0)&gt;3,"Poss Commute",""))</f>
        <v/>
      </c>
      <c r="H134" s="145" t="str">
        <f t="shared" si="17"/>
        <v/>
      </c>
      <c r="I134" s="106">
        <f t="shared" si="18"/>
        <v>0</v>
      </c>
      <c r="J134" s="106">
        <f t="shared" si="19"/>
        <v>0</v>
      </c>
      <c r="K134" s="163">
        <f t="shared" ca="1" si="20"/>
        <v>0</v>
      </c>
      <c r="L134" s="168"/>
      <c r="M134" s="629"/>
      <c r="N134" s="629"/>
      <c r="O134" s="629"/>
      <c r="P134" s="629"/>
      <c r="Q134" s="176"/>
      <c r="R134" s="176"/>
      <c r="S134" s="176">
        <f t="shared" ref="S134:S177" si="21">IF(R134&gt;0,-Q134,0)</f>
        <v>0</v>
      </c>
      <c r="T134" s="166">
        <f t="shared" si="16"/>
        <v>0</v>
      </c>
    </row>
    <row r="135" spans="1:20" x14ac:dyDescent="0.2">
      <c r="A135" s="500"/>
      <c r="B135" s="501"/>
      <c r="C135" s="501"/>
      <c r="D135" s="500"/>
      <c r="E135" s="502"/>
      <c r="F135" s="165" t="str">
        <f t="shared" ca="1" si="15"/>
        <v/>
      </c>
      <c r="G135" s="210" t="str">
        <f>IF(OR(C135="home",$X$10=1,C135=""),"",IF(ROUNDDOWN(COUNTIF($C$12:C135,C135)/IF((A135-$A$12)&lt;7,(A135+1-$A$12)/7,(A135-$A$12)/7),0)&gt;3,"Poss Commute",""))</f>
        <v/>
      </c>
      <c r="H135" s="145" t="str">
        <f t="shared" si="17"/>
        <v/>
      </c>
      <c r="I135" s="106">
        <f t="shared" si="18"/>
        <v>0</v>
      </c>
      <c r="J135" s="106">
        <f t="shared" si="19"/>
        <v>0</v>
      </c>
      <c r="K135" s="163">
        <f t="shared" ca="1" si="20"/>
        <v>0</v>
      </c>
      <c r="L135" s="168"/>
      <c r="M135" s="629"/>
      <c r="N135" s="629"/>
      <c r="O135" s="629"/>
      <c r="P135" s="629"/>
      <c r="Q135" s="176"/>
      <c r="R135" s="176"/>
      <c r="S135" s="176">
        <f t="shared" si="21"/>
        <v>0</v>
      </c>
      <c r="T135" s="166">
        <f t="shared" si="16"/>
        <v>0</v>
      </c>
    </row>
    <row r="136" spans="1:20" x14ac:dyDescent="0.2">
      <c r="A136" s="500"/>
      <c r="B136" s="501"/>
      <c r="C136" s="501"/>
      <c r="D136" s="500"/>
      <c r="E136" s="502"/>
      <c r="F136" s="165" t="str">
        <f t="shared" ca="1" si="15"/>
        <v/>
      </c>
      <c r="G136" s="210" t="str">
        <f>IF(OR(C136="home",$X$10=1,C136=""),"",IF(ROUNDDOWN(COUNTIF($C$12:C136,C136)/IF((A136-$A$12)&lt;7,(A136+1-$A$12)/7,(A136-$A$12)/7),0)&gt;3,"Poss Commute",""))</f>
        <v/>
      </c>
      <c r="H136" s="145" t="str">
        <f t="shared" si="17"/>
        <v/>
      </c>
      <c r="I136" s="106">
        <f t="shared" si="18"/>
        <v>0</v>
      </c>
      <c r="J136" s="106">
        <f t="shared" si="19"/>
        <v>0</v>
      </c>
      <c r="K136" s="163">
        <f t="shared" ca="1" si="20"/>
        <v>0</v>
      </c>
      <c r="L136" s="168"/>
      <c r="M136" s="629"/>
      <c r="N136" s="629"/>
      <c r="O136" s="629"/>
      <c r="P136" s="629"/>
      <c r="Q136" s="176"/>
      <c r="R136" s="176"/>
      <c r="S136" s="176">
        <f t="shared" si="21"/>
        <v>0</v>
      </c>
      <c r="T136" s="166">
        <f t="shared" si="16"/>
        <v>0</v>
      </c>
    </row>
    <row r="137" spans="1:20" x14ac:dyDescent="0.2">
      <c r="A137" s="500"/>
      <c r="B137" s="501"/>
      <c r="C137" s="501"/>
      <c r="D137" s="500"/>
      <c r="E137" s="502"/>
      <c r="F137" s="165" t="str">
        <f t="shared" ca="1" si="15"/>
        <v/>
      </c>
      <c r="G137" s="210" t="str">
        <f>IF(OR(C137="home",$X$10=1,C137=""),"",IF(ROUNDDOWN(COUNTIF($C$12:C137,C137)/IF((A137-$A$12)&lt;7,(A137+1-$A$12)/7,(A137-$A$12)/7),0)&gt;3,"Poss Commute",""))</f>
        <v/>
      </c>
      <c r="H137" s="145" t="str">
        <f t="shared" si="17"/>
        <v/>
      </c>
      <c r="I137" s="106">
        <f t="shared" si="18"/>
        <v>0</v>
      </c>
      <c r="J137" s="106">
        <f t="shared" si="19"/>
        <v>0</v>
      </c>
      <c r="K137" s="163">
        <f t="shared" ca="1" si="20"/>
        <v>0</v>
      </c>
      <c r="L137" s="168"/>
      <c r="M137" s="629"/>
      <c r="N137" s="629"/>
      <c r="O137" s="629"/>
      <c r="P137" s="629"/>
      <c r="Q137" s="176"/>
      <c r="R137" s="176"/>
      <c r="S137" s="176">
        <f t="shared" si="21"/>
        <v>0</v>
      </c>
      <c r="T137" s="166">
        <f t="shared" si="16"/>
        <v>0</v>
      </c>
    </row>
    <row r="138" spans="1:20" x14ac:dyDescent="0.2">
      <c r="A138" s="500"/>
      <c r="B138" s="501"/>
      <c r="C138" s="501"/>
      <c r="D138" s="500"/>
      <c r="E138" s="502"/>
      <c r="F138" s="165" t="str">
        <f t="shared" ca="1" si="15"/>
        <v/>
      </c>
      <c r="G138" s="210" t="str">
        <f>IF(OR(C138="home",$X$10=1,C138=""),"",IF(ROUNDDOWN(COUNTIF($C$12:C138,C138)/IF((A138-$A$12)&lt;7,(A138+1-$A$12)/7,(A138-$A$12)/7),0)&gt;3,"Poss Commute",""))</f>
        <v/>
      </c>
      <c r="H138" s="145" t="str">
        <f t="shared" si="17"/>
        <v/>
      </c>
      <c r="I138" s="106">
        <f t="shared" si="18"/>
        <v>0</v>
      </c>
      <c r="J138" s="106">
        <f t="shared" si="19"/>
        <v>0</v>
      </c>
      <c r="K138" s="163">
        <f t="shared" ca="1" si="20"/>
        <v>0</v>
      </c>
      <c r="L138" s="168"/>
      <c r="M138" s="629"/>
      <c r="N138" s="629"/>
      <c r="O138" s="629"/>
      <c r="P138" s="629"/>
      <c r="Q138" s="176"/>
      <c r="R138" s="176"/>
      <c r="S138" s="176">
        <f t="shared" si="21"/>
        <v>0</v>
      </c>
      <c r="T138" s="166">
        <f t="shared" si="16"/>
        <v>0</v>
      </c>
    </row>
    <row r="139" spans="1:20" x14ac:dyDescent="0.2">
      <c r="A139" s="500"/>
      <c r="B139" s="501"/>
      <c r="C139" s="501"/>
      <c r="D139" s="500"/>
      <c r="E139" s="502"/>
      <c r="F139" s="165" t="str">
        <f t="shared" ca="1" si="15"/>
        <v/>
      </c>
      <c r="G139" s="210" t="str">
        <f>IF(OR(C139="home",$X$10=1,C139=""),"",IF(ROUNDDOWN(COUNTIF($C$12:C139,C139)/IF((A139-$A$12)&lt;7,(A139+1-$A$12)/7,(A139-$A$12)/7),0)&gt;3,"Poss Commute",""))</f>
        <v/>
      </c>
      <c r="H139" s="145" t="str">
        <f t="shared" si="17"/>
        <v/>
      </c>
      <c r="I139" s="106">
        <f t="shared" si="18"/>
        <v>0</v>
      </c>
      <c r="J139" s="106">
        <f t="shared" si="19"/>
        <v>0</v>
      </c>
      <c r="K139" s="163">
        <f t="shared" ca="1" si="20"/>
        <v>0</v>
      </c>
      <c r="L139" s="168"/>
      <c r="M139" s="629"/>
      <c r="N139" s="629"/>
      <c r="O139" s="629"/>
      <c r="P139" s="629"/>
      <c r="Q139" s="176"/>
      <c r="R139" s="176"/>
      <c r="S139" s="176">
        <f t="shared" si="21"/>
        <v>0</v>
      </c>
      <c r="T139" s="166">
        <f t="shared" si="16"/>
        <v>0</v>
      </c>
    </row>
    <row r="140" spans="1:20" x14ac:dyDescent="0.2">
      <c r="A140" s="500"/>
      <c r="B140" s="501"/>
      <c r="C140" s="501"/>
      <c r="D140" s="500"/>
      <c r="E140" s="502"/>
      <c r="F140" s="165" t="str">
        <f t="shared" ca="1" si="15"/>
        <v/>
      </c>
      <c r="G140" s="210" t="str">
        <f>IF(OR(C140="home",$X$10=1,C140=""),"",IF(ROUNDDOWN(COUNTIF($C$12:C140,C140)/IF((A140-$A$12)&lt;7,(A140+1-$A$12)/7,(A140-$A$12)/7),0)&gt;3,"Poss Commute",""))</f>
        <v/>
      </c>
      <c r="H140" s="145" t="str">
        <f t="shared" si="17"/>
        <v/>
      </c>
      <c r="I140" s="106">
        <f t="shared" si="18"/>
        <v>0</v>
      </c>
      <c r="J140" s="106">
        <f t="shared" si="19"/>
        <v>0</v>
      </c>
      <c r="K140" s="163">
        <f t="shared" ca="1" si="20"/>
        <v>0</v>
      </c>
      <c r="L140" s="168"/>
      <c r="M140" s="629"/>
      <c r="N140" s="629"/>
      <c r="O140" s="629"/>
      <c r="P140" s="629"/>
      <c r="Q140" s="176"/>
      <c r="R140" s="176"/>
      <c r="S140" s="176">
        <f t="shared" si="21"/>
        <v>0</v>
      </c>
      <c r="T140" s="166">
        <f t="shared" si="16"/>
        <v>0</v>
      </c>
    </row>
    <row r="141" spans="1:20" x14ac:dyDescent="0.2">
      <c r="A141" s="500"/>
      <c r="B141" s="501"/>
      <c r="C141" s="501"/>
      <c r="D141" s="500"/>
      <c r="E141" s="502"/>
      <c r="F141" s="165" t="str">
        <f t="shared" ca="1" si="15"/>
        <v/>
      </c>
      <c r="G141" s="210" t="str">
        <f>IF(OR(C141="home",$X$10=1,C141=""),"",IF(ROUNDDOWN(COUNTIF($C$12:C141,C141)/IF((A141-$A$12)&lt;7,(A141+1-$A$12)/7,(A141-$A$12)/7),0)&gt;3,"Poss Commute",""))</f>
        <v/>
      </c>
      <c r="H141" s="145" t="str">
        <f t="shared" si="17"/>
        <v/>
      </c>
      <c r="I141" s="106">
        <f t="shared" si="18"/>
        <v>0</v>
      </c>
      <c r="J141" s="106">
        <f t="shared" si="19"/>
        <v>0</v>
      </c>
      <c r="K141" s="163">
        <f t="shared" ca="1" si="20"/>
        <v>0</v>
      </c>
      <c r="L141" s="168"/>
      <c r="M141" s="629"/>
      <c r="N141" s="629"/>
      <c r="O141" s="629"/>
      <c r="P141" s="629"/>
      <c r="Q141" s="176"/>
      <c r="R141" s="176"/>
      <c r="S141" s="176">
        <f t="shared" si="21"/>
        <v>0</v>
      </c>
      <c r="T141" s="166">
        <f t="shared" si="16"/>
        <v>0</v>
      </c>
    </row>
    <row r="142" spans="1:20" x14ac:dyDescent="0.2">
      <c r="A142" s="500"/>
      <c r="B142" s="501"/>
      <c r="C142" s="501"/>
      <c r="D142" s="500"/>
      <c r="E142" s="502"/>
      <c r="F142" s="165" t="str">
        <f t="shared" ca="1" si="15"/>
        <v/>
      </c>
      <c r="G142" s="210" t="str">
        <f>IF(OR(C142="home",$X$10=1,C142=""),"",IF(ROUNDDOWN(COUNTIF($C$12:C142,C142)/IF((A142-$A$12)&lt;7,(A142+1-$A$12)/7,(A142-$A$12)/7),0)&gt;3,"Poss Commute",""))</f>
        <v/>
      </c>
      <c r="H142" s="145" t="str">
        <f t="shared" si="17"/>
        <v/>
      </c>
      <c r="I142" s="106">
        <f t="shared" si="18"/>
        <v>0</v>
      </c>
      <c r="J142" s="106">
        <f t="shared" si="19"/>
        <v>0</v>
      </c>
      <c r="K142" s="163">
        <f t="shared" ca="1" si="20"/>
        <v>0</v>
      </c>
      <c r="L142" s="168"/>
      <c r="M142" s="629"/>
      <c r="N142" s="629"/>
      <c r="O142" s="629"/>
      <c r="P142" s="629"/>
      <c r="Q142" s="176"/>
      <c r="R142" s="176"/>
      <c r="S142" s="176">
        <f t="shared" si="21"/>
        <v>0</v>
      </c>
      <c r="T142" s="166">
        <f t="shared" si="16"/>
        <v>0</v>
      </c>
    </row>
    <row r="143" spans="1:20" x14ac:dyDescent="0.2">
      <c r="A143" s="500"/>
      <c r="B143" s="501"/>
      <c r="C143" s="501"/>
      <c r="D143" s="500"/>
      <c r="E143" s="502"/>
      <c r="F143" s="165" t="str">
        <f t="shared" ca="1" si="15"/>
        <v/>
      </c>
      <c r="G143" s="210" t="str">
        <f>IF(OR(C143="home",$X$10=1,C143=""),"",IF(ROUNDDOWN(COUNTIF($C$12:C143,C143)/IF((A143-$A$12)&lt;7,(A143+1-$A$12)/7,(A143-$A$12)/7),0)&gt;3,"Poss Commute",""))</f>
        <v/>
      </c>
      <c r="H143" s="145" t="str">
        <f t="shared" si="17"/>
        <v/>
      </c>
      <c r="I143" s="106">
        <f t="shared" si="18"/>
        <v>0</v>
      </c>
      <c r="J143" s="106">
        <f t="shared" si="19"/>
        <v>0</v>
      </c>
      <c r="K143" s="163">
        <f t="shared" ca="1" si="20"/>
        <v>0</v>
      </c>
      <c r="L143" s="169"/>
      <c r="M143" s="629"/>
      <c r="N143" s="629"/>
      <c r="O143" s="629"/>
      <c r="P143" s="629"/>
      <c r="Q143" s="176"/>
      <c r="R143" s="176"/>
      <c r="S143" s="176">
        <f t="shared" si="21"/>
        <v>0</v>
      </c>
      <c r="T143" s="166">
        <f t="shared" si="16"/>
        <v>0</v>
      </c>
    </row>
    <row r="144" spans="1:20" x14ac:dyDescent="0.2">
      <c r="A144" s="500"/>
      <c r="B144" s="501"/>
      <c r="C144" s="501"/>
      <c r="D144" s="500"/>
      <c r="E144" s="502"/>
      <c r="F144" s="165" t="str">
        <f t="shared" ca="1" si="15"/>
        <v/>
      </c>
      <c r="G144" s="210" t="str">
        <f>IF(OR(C144="home",$X$10=1,C144=""),"",IF(ROUNDDOWN(COUNTIF($C$12:C144,C144)/IF((A144-$A$12)&lt;7,(A144+1-$A$12)/7,(A144-$A$12)/7),0)&gt;3,"Poss Commute",""))</f>
        <v/>
      </c>
      <c r="H144" s="145" t="str">
        <f t="shared" si="17"/>
        <v/>
      </c>
      <c r="I144" s="106">
        <f t="shared" si="18"/>
        <v>0</v>
      </c>
      <c r="J144" s="106">
        <f t="shared" si="19"/>
        <v>0</v>
      </c>
      <c r="K144" s="163">
        <f t="shared" ca="1" si="20"/>
        <v>0</v>
      </c>
      <c r="L144" s="168"/>
      <c r="M144" s="629"/>
      <c r="N144" s="629"/>
      <c r="O144" s="629"/>
      <c r="P144" s="629"/>
      <c r="Q144" s="176"/>
      <c r="R144" s="176"/>
      <c r="S144" s="176">
        <f t="shared" si="21"/>
        <v>0</v>
      </c>
      <c r="T144" s="166">
        <f t="shared" si="16"/>
        <v>0</v>
      </c>
    </row>
    <row r="145" spans="1:20" x14ac:dyDescent="0.2">
      <c r="A145" s="500"/>
      <c r="B145" s="501"/>
      <c r="C145" s="501"/>
      <c r="D145" s="500"/>
      <c r="E145" s="502"/>
      <c r="F145" s="165" t="str">
        <f t="shared" ca="1" si="15"/>
        <v/>
      </c>
      <c r="G145" s="210" t="str">
        <f>IF(OR(C145="home",$X$10=1,C145=""),"",IF(ROUNDDOWN(COUNTIF($C$12:C145,C145)/IF((A145-$A$12)&lt;7,(A145+1-$A$12)/7,(A145-$A$12)/7),0)&gt;3,"Poss Commute",""))</f>
        <v/>
      </c>
      <c r="H145" s="145" t="str">
        <f t="shared" si="17"/>
        <v/>
      </c>
      <c r="I145" s="106">
        <f t="shared" si="18"/>
        <v>0</v>
      </c>
      <c r="J145" s="106">
        <f t="shared" si="19"/>
        <v>0</v>
      </c>
      <c r="K145" s="163">
        <f t="shared" ca="1" si="20"/>
        <v>0</v>
      </c>
      <c r="L145" s="168"/>
      <c r="M145" s="629"/>
      <c r="N145" s="629"/>
      <c r="O145" s="629"/>
      <c r="P145" s="629"/>
      <c r="Q145" s="176"/>
      <c r="R145" s="176"/>
      <c r="S145" s="176">
        <f t="shared" si="21"/>
        <v>0</v>
      </c>
      <c r="T145" s="166">
        <f t="shared" si="16"/>
        <v>0</v>
      </c>
    </row>
    <row r="146" spans="1:20" x14ac:dyDescent="0.2">
      <c r="A146" s="500"/>
      <c r="B146" s="501"/>
      <c r="C146" s="501"/>
      <c r="D146" s="500"/>
      <c r="E146" s="502"/>
      <c r="F146" s="165" t="str">
        <f t="shared" ca="1" si="15"/>
        <v/>
      </c>
      <c r="G146" s="210" t="str">
        <f>IF(OR(C146="home",$X$10=1,C146=""),"",IF(ROUNDDOWN(COUNTIF($C$12:C146,C146)/IF((A146-$A$12)&lt;7,(A146+1-$A$12)/7,(A146-$A$12)/7),0)&gt;3,"Poss Commute",""))</f>
        <v/>
      </c>
      <c r="H146" s="145" t="str">
        <f t="shared" si="17"/>
        <v/>
      </c>
      <c r="I146" s="106">
        <f t="shared" si="18"/>
        <v>0</v>
      </c>
      <c r="J146" s="106">
        <f t="shared" si="19"/>
        <v>0</v>
      </c>
      <c r="K146" s="163">
        <f t="shared" ca="1" si="20"/>
        <v>0</v>
      </c>
      <c r="L146" s="168"/>
      <c r="M146" s="629"/>
      <c r="N146" s="629"/>
      <c r="O146" s="629"/>
      <c r="P146" s="629"/>
      <c r="Q146" s="176"/>
      <c r="R146" s="176"/>
      <c r="S146" s="176">
        <f t="shared" si="21"/>
        <v>0</v>
      </c>
      <c r="T146" s="166">
        <f t="shared" si="16"/>
        <v>0</v>
      </c>
    </row>
    <row r="147" spans="1:20" x14ac:dyDescent="0.2">
      <c r="A147" s="500"/>
      <c r="B147" s="501"/>
      <c r="C147" s="501"/>
      <c r="D147" s="500"/>
      <c r="E147" s="502"/>
      <c r="F147" s="165" t="str">
        <f t="shared" ca="1" si="15"/>
        <v/>
      </c>
      <c r="G147" s="210" t="str">
        <f>IF(OR(C147="home",$X$10=1,C147=""),"",IF(ROUNDDOWN(COUNTIF($C$12:C147,C147)/IF((A147-$A$12)&lt;7,(A147+1-$A$12)/7,(A147-$A$12)/7),0)&gt;3,"Poss Commute",""))</f>
        <v/>
      </c>
      <c r="H147" s="145" t="str">
        <f t="shared" si="17"/>
        <v/>
      </c>
      <c r="I147" s="106">
        <f t="shared" si="18"/>
        <v>0</v>
      </c>
      <c r="J147" s="106">
        <f t="shared" si="19"/>
        <v>0</v>
      </c>
      <c r="K147" s="163">
        <f t="shared" ca="1" si="20"/>
        <v>0</v>
      </c>
      <c r="L147" s="168"/>
      <c r="M147" s="629"/>
      <c r="N147" s="629"/>
      <c r="O147" s="629"/>
      <c r="P147" s="629"/>
      <c r="Q147" s="176"/>
      <c r="R147" s="176"/>
      <c r="S147" s="176">
        <f t="shared" si="21"/>
        <v>0</v>
      </c>
      <c r="T147" s="166">
        <f t="shared" si="16"/>
        <v>0</v>
      </c>
    </row>
    <row r="148" spans="1:20" x14ac:dyDescent="0.2">
      <c r="A148" s="500"/>
      <c r="B148" s="501"/>
      <c r="C148" s="501"/>
      <c r="D148" s="500"/>
      <c r="E148" s="502"/>
      <c r="F148" s="165" t="str">
        <f t="shared" ca="1" si="15"/>
        <v/>
      </c>
      <c r="G148" s="210" t="str">
        <f>IF(OR(C148="home",$X$10=1,C148=""),"",IF(ROUNDDOWN(COUNTIF($C$12:C148,C148)/IF((A148-$A$12)&lt;7,(A148+1-$A$12)/7,(A148-$A$12)/7),0)&gt;3,"Poss Commute",""))</f>
        <v/>
      </c>
      <c r="H148" s="145" t="str">
        <f t="shared" si="17"/>
        <v/>
      </c>
      <c r="I148" s="106">
        <f t="shared" si="18"/>
        <v>0</v>
      </c>
      <c r="J148" s="106">
        <f t="shared" si="19"/>
        <v>0</v>
      </c>
      <c r="K148" s="163">
        <f t="shared" ca="1" si="20"/>
        <v>0</v>
      </c>
      <c r="L148" s="168"/>
      <c r="M148" s="629"/>
      <c r="N148" s="629"/>
      <c r="O148" s="629"/>
      <c r="P148" s="629"/>
      <c r="Q148" s="176"/>
      <c r="R148" s="176"/>
      <c r="S148" s="176">
        <f t="shared" si="21"/>
        <v>0</v>
      </c>
      <c r="T148" s="166">
        <f t="shared" si="16"/>
        <v>0</v>
      </c>
    </row>
    <row r="149" spans="1:20" x14ac:dyDescent="0.2">
      <c r="A149" s="500"/>
      <c r="B149" s="501"/>
      <c r="C149" s="501"/>
      <c r="D149" s="500"/>
      <c r="E149" s="502"/>
      <c r="F149" s="165" t="str">
        <f t="shared" ca="1" si="15"/>
        <v/>
      </c>
      <c r="G149" s="210" t="str">
        <f>IF(OR(C149="home",$X$10=1,C149=""),"",IF(ROUNDDOWN(COUNTIF($C$12:C149,C149)/IF((A149-$A$12)&lt;7,(A149+1-$A$12)/7,(A149-$A$12)/7),0)&gt;3,"Poss Commute",""))</f>
        <v/>
      </c>
      <c r="H149" s="145" t="str">
        <f t="shared" si="17"/>
        <v/>
      </c>
      <c r="I149" s="106">
        <f t="shared" si="18"/>
        <v>0</v>
      </c>
      <c r="J149" s="106">
        <f t="shared" si="19"/>
        <v>0</v>
      </c>
      <c r="K149" s="163">
        <f t="shared" ca="1" si="20"/>
        <v>0</v>
      </c>
      <c r="L149" s="168"/>
      <c r="M149" s="629"/>
      <c r="N149" s="629"/>
      <c r="O149" s="629"/>
      <c r="P149" s="629"/>
      <c r="Q149" s="176"/>
      <c r="R149" s="176"/>
      <c r="S149" s="176">
        <f t="shared" si="21"/>
        <v>0</v>
      </c>
      <c r="T149" s="166">
        <f t="shared" si="16"/>
        <v>0</v>
      </c>
    </row>
    <row r="150" spans="1:20" x14ac:dyDescent="0.2">
      <c r="A150" s="500"/>
      <c r="B150" s="501"/>
      <c r="C150" s="501"/>
      <c r="D150" s="500"/>
      <c r="E150" s="502"/>
      <c r="F150" s="165" t="str">
        <f t="shared" ca="1" si="15"/>
        <v/>
      </c>
      <c r="G150" s="210" t="str">
        <f>IF(OR(C150="home",$X$10=1,C150=""),"",IF(ROUNDDOWN(COUNTIF($C$12:C150,C150)/IF((A150-$A$12)&lt;7,(A150+1-$A$12)/7,(A150-$A$12)/7),0)&gt;3,"Poss Commute",""))</f>
        <v/>
      </c>
      <c r="H150" s="145" t="str">
        <f t="shared" si="17"/>
        <v/>
      </c>
      <c r="I150" s="106">
        <f t="shared" si="18"/>
        <v>0</v>
      </c>
      <c r="J150" s="106">
        <f t="shared" si="19"/>
        <v>0</v>
      </c>
      <c r="K150" s="163">
        <f t="shared" ca="1" si="20"/>
        <v>0</v>
      </c>
      <c r="L150" s="168"/>
      <c r="M150" s="629"/>
      <c r="N150" s="629"/>
      <c r="O150" s="629"/>
      <c r="P150" s="629"/>
      <c r="Q150" s="176"/>
      <c r="R150" s="176"/>
      <c r="S150" s="176">
        <f t="shared" si="21"/>
        <v>0</v>
      </c>
      <c r="T150" s="166">
        <f t="shared" si="16"/>
        <v>0</v>
      </c>
    </row>
    <row r="151" spans="1:20" x14ac:dyDescent="0.2">
      <c r="A151" s="500"/>
      <c r="B151" s="501"/>
      <c r="C151" s="501"/>
      <c r="D151" s="500"/>
      <c r="E151" s="502"/>
      <c r="F151" s="165" t="str">
        <f t="shared" ca="1" si="15"/>
        <v/>
      </c>
      <c r="G151" s="210" t="str">
        <f>IF(OR(C151="home",$X$10=1,C151=""),"",IF(ROUNDDOWN(COUNTIF($C$12:C151,C151)/IF((A151-$A$12)&lt;7,(A151+1-$A$12)/7,(A151-$A$12)/7),0)&gt;3,"Poss Commute",""))</f>
        <v/>
      </c>
      <c r="H151" s="145" t="str">
        <f t="shared" si="17"/>
        <v/>
      </c>
      <c r="I151" s="106">
        <f t="shared" si="18"/>
        <v>0</v>
      </c>
      <c r="J151" s="106">
        <f t="shared" si="19"/>
        <v>0</v>
      </c>
      <c r="K151" s="163">
        <f t="shared" ca="1" si="20"/>
        <v>0</v>
      </c>
      <c r="L151" s="168"/>
      <c r="M151" s="629"/>
      <c r="N151" s="629"/>
      <c r="O151" s="629"/>
      <c r="P151" s="629"/>
      <c r="Q151" s="176"/>
      <c r="R151" s="176"/>
      <c r="S151" s="176">
        <f t="shared" si="21"/>
        <v>0</v>
      </c>
      <c r="T151" s="166">
        <f t="shared" si="16"/>
        <v>0</v>
      </c>
    </row>
    <row r="152" spans="1:20" x14ac:dyDescent="0.2">
      <c r="A152" s="500"/>
      <c r="B152" s="501"/>
      <c r="C152" s="501"/>
      <c r="D152" s="500"/>
      <c r="E152" s="502"/>
      <c r="F152" s="165" t="str">
        <f t="shared" ca="1" si="15"/>
        <v/>
      </c>
      <c r="G152" s="210" t="str">
        <f>IF(OR(C152="home",$X$10=1,C152=""),"",IF(ROUNDDOWN(COUNTIF($C$12:C152,C152)/IF((A152-$A$12)&lt;7,(A152+1-$A$12)/7,(A152-$A$12)/7),0)&gt;3,"Poss Commute",""))</f>
        <v/>
      </c>
      <c r="H152" s="145" t="str">
        <f t="shared" si="17"/>
        <v/>
      </c>
      <c r="I152" s="106">
        <f t="shared" si="18"/>
        <v>0</v>
      </c>
      <c r="J152" s="106">
        <f t="shared" si="19"/>
        <v>0</v>
      </c>
      <c r="K152" s="163">
        <f t="shared" ca="1" si="20"/>
        <v>0</v>
      </c>
      <c r="L152" s="168"/>
      <c r="M152" s="629"/>
      <c r="N152" s="629"/>
      <c r="O152" s="629"/>
      <c r="P152" s="629"/>
      <c r="Q152" s="176"/>
      <c r="R152" s="176"/>
      <c r="S152" s="176">
        <f t="shared" si="21"/>
        <v>0</v>
      </c>
      <c r="T152" s="166">
        <f t="shared" si="16"/>
        <v>0</v>
      </c>
    </row>
    <row r="153" spans="1:20" x14ac:dyDescent="0.2">
      <c r="A153" s="500"/>
      <c r="B153" s="501"/>
      <c r="C153" s="501"/>
      <c r="D153" s="500"/>
      <c r="E153" s="502"/>
      <c r="F153" s="165" t="str">
        <f t="shared" ca="1" si="15"/>
        <v/>
      </c>
      <c r="G153" s="210" t="str">
        <f>IF(OR(C153="home",$X$10=1,C153=""),"",IF(ROUNDDOWN(COUNTIF($C$12:C153,C153)/IF((A153-$A$12)&lt;7,(A153+1-$A$12)/7,(A153-$A$12)/7),0)&gt;3,"Poss Commute",""))</f>
        <v/>
      </c>
      <c r="H153" s="145" t="str">
        <f t="shared" si="17"/>
        <v/>
      </c>
      <c r="I153" s="106">
        <f t="shared" si="18"/>
        <v>0</v>
      </c>
      <c r="J153" s="106">
        <f t="shared" si="19"/>
        <v>0</v>
      </c>
      <c r="K153" s="163">
        <f t="shared" ca="1" si="20"/>
        <v>0</v>
      </c>
      <c r="L153" s="168"/>
      <c r="M153" s="629"/>
      <c r="N153" s="629"/>
      <c r="O153" s="629"/>
      <c r="P153" s="629"/>
      <c r="Q153" s="176"/>
      <c r="R153" s="176"/>
      <c r="S153" s="176">
        <f t="shared" si="21"/>
        <v>0</v>
      </c>
      <c r="T153" s="166">
        <f t="shared" si="16"/>
        <v>0</v>
      </c>
    </row>
    <row r="154" spans="1:20" x14ac:dyDescent="0.2">
      <c r="A154" s="500"/>
      <c r="B154" s="501"/>
      <c r="C154" s="501"/>
      <c r="D154" s="500"/>
      <c r="E154" s="502"/>
      <c r="F154" s="165" t="str">
        <f t="shared" ca="1" si="15"/>
        <v/>
      </c>
      <c r="G154" s="210" t="str">
        <f>IF(OR(C154="home",$X$10=1,C154=""),"",IF(ROUNDDOWN(COUNTIF($C$12:C154,C154)/IF((A154-$A$12)&lt;7,(A154+1-$A$12)/7,(A154-$A$12)/7),0)&gt;3,"Poss Commute",""))</f>
        <v/>
      </c>
      <c r="H154" s="145" t="str">
        <f t="shared" si="17"/>
        <v/>
      </c>
      <c r="I154" s="106">
        <f t="shared" si="18"/>
        <v>0</v>
      </c>
      <c r="J154" s="106">
        <f t="shared" si="19"/>
        <v>0</v>
      </c>
      <c r="K154" s="163">
        <f t="shared" ca="1" si="20"/>
        <v>0</v>
      </c>
      <c r="L154" s="168"/>
      <c r="M154" s="629"/>
      <c r="N154" s="629"/>
      <c r="O154" s="629"/>
      <c r="P154" s="629"/>
      <c r="Q154" s="176"/>
      <c r="R154" s="176"/>
      <c r="S154" s="176">
        <f t="shared" si="21"/>
        <v>0</v>
      </c>
      <c r="T154" s="166">
        <f t="shared" si="16"/>
        <v>0</v>
      </c>
    </row>
    <row r="155" spans="1:20" x14ac:dyDescent="0.2">
      <c r="A155" s="500"/>
      <c r="B155" s="501"/>
      <c r="C155" s="501"/>
      <c r="D155" s="500"/>
      <c r="E155" s="502"/>
      <c r="F155" s="165" t="str">
        <f t="shared" ca="1" si="15"/>
        <v/>
      </c>
      <c r="G155" s="210" t="str">
        <f>IF(OR(C155="home",$X$10=1,C155=""),"",IF(ROUNDDOWN(COUNTIF($C$12:C155,C155)/IF((A155-$A$12)&lt;7,(A155+1-$A$12)/7,(A155-$A$12)/7),0)&gt;3,"Poss Commute",""))</f>
        <v/>
      </c>
      <c r="H155" s="145" t="str">
        <f t="shared" si="17"/>
        <v/>
      </c>
      <c r="I155" s="106">
        <f t="shared" si="18"/>
        <v>0</v>
      </c>
      <c r="J155" s="106">
        <f t="shared" si="19"/>
        <v>0</v>
      </c>
      <c r="K155" s="163">
        <f t="shared" ca="1" si="20"/>
        <v>0</v>
      </c>
      <c r="L155" s="168"/>
      <c r="M155" s="629"/>
      <c r="N155" s="629"/>
      <c r="O155" s="629"/>
      <c r="P155" s="629"/>
      <c r="Q155" s="176"/>
      <c r="R155" s="176"/>
      <c r="S155" s="176">
        <f t="shared" si="21"/>
        <v>0</v>
      </c>
      <c r="T155" s="166">
        <f t="shared" si="16"/>
        <v>0</v>
      </c>
    </row>
    <row r="156" spans="1:20" x14ac:dyDescent="0.2">
      <c r="A156" s="500"/>
      <c r="B156" s="501"/>
      <c r="C156" s="501"/>
      <c r="D156" s="500"/>
      <c r="E156" s="502"/>
      <c r="F156" s="165" t="str">
        <f t="shared" ca="1" si="15"/>
        <v/>
      </c>
      <c r="G156" s="210" t="str">
        <f>IF(OR(C156="home",$X$10=1,C156=""),"",IF(ROUNDDOWN(COUNTIF($C$12:C156,C156)/IF((A156-$A$12)&lt;7,(A156+1-$A$12)/7,(A156-$A$12)/7),0)&gt;3,"Poss Commute",""))</f>
        <v/>
      </c>
      <c r="H156" s="145" t="str">
        <f t="shared" si="17"/>
        <v/>
      </c>
      <c r="I156" s="106">
        <f t="shared" si="18"/>
        <v>0</v>
      </c>
      <c r="J156" s="106">
        <f t="shared" si="19"/>
        <v>0</v>
      </c>
      <c r="K156" s="163">
        <f t="shared" ca="1" si="20"/>
        <v>0</v>
      </c>
      <c r="L156" s="168"/>
      <c r="M156" s="629"/>
      <c r="N156" s="629"/>
      <c r="O156" s="629"/>
      <c r="P156" s="629"/>
      <c r="Q156" s="176"/>
      <c r="R156" s="176"/>
      <c r="S156" s="176">
        <f t="shared" si="21"/>
        <v>0</v>
      </c>
      <c r="T156" s="166">
        <f t="shared" si="16"/>
        <v>0</v>
      </c>
    </row>
    <row r="157" spans="1:20" x14ac:dyDescent="0.2">
      <c r="A157" s="500"/>
      <c r="B157" s="501"/>
      <c r="C157" s="501"/>
      <c r="D157" s="500"/>
      <c r="E157" s="502"/>
      <c r="F157" s="165" t="str">
        <f t="shared" ca="1" si="15"/>
        <v/>
      </c>
      <c r="G157" s="210" t="str">
        <f>IF(OR(C157="home",$X$10=1,C157=""),"",IF(ROUNDDOWN(COUNTIF($C$12:C157,C157)/IF((A157-$A$12)&lt;7,(A157+1-$A$12)/7,(A157-$A$12)/7),0)&gt;3,"Poss Commute",""))</f>
        <v/>
      </c>
      <c r="H157" s="145" t="str">
        <f t="shared" si="17"/>
        <v/>
      </c>
      <c r="I157" s="106">
        <f t="shared" si="18"/>
        <v>0</v>
      </c>
      <c r="J157" s="106">
        <f t="shared" si="19"/>
        <v>0</v>
      </c>
      <c r="K157" s="163">
        <f t="shared" ca="1" si="20"/>
        <v>0</v>
      </c>
      <c r="L157" s="168"/>
      <c r="M157" s="629"/>
      <c r="N157" s="629"/>
      <c r="O157" s="629"/>
      <c r="P157" s="629"/>
      <c r="Q157" s="176"/>
      <c r="R157" s="176"/>
      <c r="S157" s="176">
        <f t="shared" si="21"/>
        <v>0</v>
      </c>
      <c r="T157" s="166">
        <f t="shared" si="16"/>
        <v>0</v>
      </c>
    </row>
    <row r="158" spans="1:20" x14ac:dyDescent="0.2">
      <c r="A158" s="500"/>
      <c r="B158" s="501"/>
      <c r="C158" s="501"/>
      <c r="D158" s="500"/>
      <c r="E158" s="502"/>
      <c r="F158" s="165" t="str">
        <f t="shared" ca="1" si="15"/>
        <v/>
      </c>
      <c r="G158" s="210" t="str">
        <f>IF(OR(C158="home",$X$10=1,C158=""),"",IF(ROUNDDOWN(COUNTIF($C$12:C158,C158)/IF((A158-$A$12)&lt;7,(A158+1-$A$12)/7,(A158-$A$12)/7),0)&gt;3,"Poss Commute",""))</f>
        <v/>
      </c>
      <c r="H158" s="145" t="str">
        <f t="shared" si="17"/>
        <v/>
      </c>
      <c r="I158" s="106">
        <f t="shared" si="18"/>
        <v>0</v>
      </c>
      <c r="J158" s="106">
        <f t="shared" si="19"/>
        <v>0</v>
      </c>
      <c r="K158" s="163">
        <f t="shared" ca="1" si="20"/>
        <v>0</v>
      </c>
      <c r="L158" s="168"/>
      <c r="M158" s="629"/>
      <c r="N158" s="629"/>
      <c r="O158" s="629"/>
      <c r="P158" s="629"/>
      <c r="Q158" s="176"/>
      <c r="R158" s="176"/>
      <c r="S158" s="176">
        <f t="shared" si="21"/>
        <v>0</v>
      </c>
      <c r="T158" s="166">
        <f t="shared" si="16"/>
        <v>0</v>
      </c>
    </row>
    <row r="159" spans="1:20" x14ac:dyDescent="0.2">
      <c r="A159" s="500"/>
      <c r="B159" s="501"/>
      <c r="C159" s="501"/>
      <c r="D159" s="500"/>
      <c r="E159" s="502"/>
      <c r="F159" s="165" t="str">
        <f t="shared" ca="1" si="15"/>
        <v/>
      </c>
      <c r="G159" s="210" t="str">
        <f>IF(OR(C159="home",$X$10=1,C159=""),"",IF(ROUNDDOWN(COUNTIF($C$12:C159,C159)/IF((A159-$A$12)&lt;7,(A159+1-$A$12)/7,(A159-$A$12)/7),0)&gt;3,"Poss Commute",""))</f>
        <v/>
      </c>
      <c r="H159" s="145" t="str">
        <f t="shared" si="17"/>
        <v/>
      </c>
      <c r="I159" s="106">
        <f t="shared" si="18"/>
        <v>0</v>
      </c>
      <c r="J159" s="106">
        <f t="shared" si="19"/>
        <v>0</v>
      </c>
      <c r="K159" s="163">
        <f t="shared" ca="1" si="20"/>
        <v>0</v>
      </c>
      <c r="L159" s="168"/>
      <c r="M159" s="629"/>
      <c r="N159" s="629"/>
      <c r="O159" s="629"/>
      <c r="P159" s="629"/>
      <c r="Q159" s="176"/>
      <c r="R159" s="176"/>
      <c r="S159" s="176">
        <f t="shared" si="21"/>
        <v>0</v>
      </c>
      <c r="T159" s="166">
        <f t="shared" si="16"/>
        <v>0</v>
      </c>
    </row>
    <row r="160" spans="1:20" x14ac:dyDescent="0.2">
      <c r="A160" s="500"/>
      <c r="B160" s="501"/>
      <c r="C160" s="501"/>
      <c r="D160" s="500"/>
      <c r="E160" s="502"/>
      <c r="F160" s="165" t="str">
        <f t="shared" ca="1" si="15"/>
        <v/>
      </c>
      <c r="G160" s="210" t="str">
        <f>IF(OR(C160="home",$X$10=1,C160=""),"",IF(ROUNDDOWN(COUNTIF($C$12:C160,C160)/IF((A160-$A$12)&lt;7,(A160+1-$A$12)/7,(A160-$A$12)/7),0)&gt;3,"Poss Commute",""))</f>
        <v/>
      </c>
      <c r="H160" s="145" t="str">
        <f t="shared" si="17"/>
        <v/>
      </c>
      <c r="I160" s="106">
        <f t="shared" si="18"/>
        <v>0</v>
      </c>
      <c r="J160" s="106">
        <f t="shared" si="19"/>
        <v>0</v>
      </c>
      <c r="K160" s="163">
        <f t="shared" ca="1" si="20"/>
        <v>0</v>
      </c>
      <c r="L160" s="168"/>
      <c r="M160" s="629"/>
      <c r="N160" s="629"/>
      <c r="O160" s="629"/>
      <c r="P160" s="629"/>
      <c r="Q160" s="176"/>
      <c r="R160" s="176"/>
      <c r="S160" s="176">
        <f t="shared" si="21"/>
        <v>0</v>
      </c>
      <c r="T160" s="166">
        <f t="shared" si="16"/>
        <v>0</v>
      </c>
    </row>
    <row r="161" spans="1:20" x14ac:dyDescent="0.2">
      <c r="A161" s="500"/>
      <c r="B161" s="501"/>
      <c r="C161" s="501"/>
      <c r="D161" s="500"/>
      <c r="E161" s="502"/>
      <c r="F161" s="165" t="str">
        <f t="shared" ca="1" si="15"/>
        <v/>
      </c>
      <c r="G161" s="210" t="str">
        <f>IF(OR(C161="home",$X$10=1,C161=""),"",IF(ROUNDDOWN(COUNTIF($C$12:C161,C161)/IF((A161-$A$12)&lt;7,(A161+1-$A$12)/7,(A161-$A$12)/7),0)&gt;3,"Poss Commute",""))</f>
        <v/>
      </c>
      <c r="H161" s="145" t="str">
        <f t="shared" si="17"/>
        <v/>
      </c>
      <c r="I161" s="106">
        <f t="shared" si="18"/>
        <v>0</v>
      </c>
      <c r="J161" s="106">
        <f t="shared" si="19"/>
        <v>0</v>
      </c>
      <c r="K161" s="163">
        <f t="shared" ca="1" si="20"/>
        <v>0</v>
      </c>
      <c r="L161" s="168"/>
      <c r="M161" s="629"/>
      <c r="N161" s="629"/>
      <c r="O161" s="629"/>
      <c r="P161" s="629"/>
      <c r="Q161" s="176"/>
      <c r="R161" s="176"/>
      <c r="S161" s="176">
        <f t="shared" si="21"/>
        <v>0</v>
      </c>
      <c r="T161" s="166">
        <f t="shared" si="16"/>
        <v>0</v>
      </c>
    </row>
    <row r="162" spans="1:20" x14ac:dyDescent="0.2">
      <c r="A162" s="500"/>
      <c r="B162" s="501"/>
      <c r="C162" s="501"/>
      <c r="D162" s="500"/>
      <c r="E162" s="502"/>
      <c r="F162" s="165" t="str">
        <f t="shared" ca="1" si="15"/>
        <v/>
      </c>
      <c r="G162" s="210" t="str">
        <f>IF(OR(C162="home",$X$10=1,C162=""),"",IF(ROUNDDOWN(COUNTIF($C$12:C162,C162)/IF((A162-$A$12)&lt;7,(A162+1-$A$12)/7,(A162-$A$12)/7),0)&gt;3,"Poss Commute",""))</f>
        <v/>
      </c>
      <c r="H162" s="145" t="str">
        <f t="shared" si="17"/>
        <v/>
      </c>
      <c r="I162" s="106">
        <f t="shared" si="18"/>
        <v>0</v>
      </c>
      <c r="J162" s="106">
        <f t="shared" si="19"/>
        <v>0</v>
      </c>
      <c r="K162" s="163">
        <f t="shared" ca="1" si="20"/>
        <v>0</v>
      </c>
      <c r="L162" s="168"/>
      <c r="M162" s="629"/>
      <c r="N162" s="629"/>
      <c r="O162" s="629"/>
      <c r="P162" s="629"/>
      <c r="Q162" s="176"/>
      <c r="R162" s="176"/>
      <c r="S162" s="176">
        <f t="shared" si="21"/>
        <v>0</v>
      </c>
      <c r="T162" s="166">
        <f t="shared" si="16"/>
        <v>0</v>
      </c>
    </row>
    <row r="163" spans="1:20" x14ac:dyDescent="0.2">
      <c r="A163" s="500"/>
      <c r="B163" s="501"/>
      <c r="C163" s="501"/>
      <c r="D163" s="500"/>
      <c r="E163" s="502"/>
      <c r="F163" s="165" t="str">
        <f t="shared" ca="1" si="15"/>
        <v/>
      </c>
      <c r="G163" s="210" t="str">
        <f>IF(OR(C163="home",$X$10=1,C163=""),"",IF(ROUNDDOWN(COUNTIF($C$12:C163,C163)/IF((A163-$A$12)&lt;7,(A163+1-$A$12)/7,(A163-$A$12)/7),0)&gt;3,"Poss Commute",""))</f>
        <v/>
      </c>
      <c r="H163" s="145" t="str">
        <f t="shared" si="17"/>
        <v/>
      </c>
      <c r="I163" s="106">
        <f t="shared" si="18"/>
        <v>0</v>
      </c>
      <c r="J163" s="106">
        <f t="shared" si="19"/>
        <v>0</v>
      </c>
      <c r="K163" s="163">
        <f t="shared" ca="1" si="20"/>
        <v>0</v>
      </c>
      <c r="L163" s="168"/>
      <c r="M163" s="629"/>
      <c r="N163" s="629"/>
      <c r="O163" s="629"/>
      <c r="P163" s="629"/>
      <c r="Q163" s="176"/>
      <c r="R163" s="176"/>
      <c r="S163" s="176">
        <f t="shared" si="21"/>
        <v>0</v>
      </c>
      <c r="T163" s="166">
        <f t="shared" si="16"/>
        <v>0</v>
      </c>
    </row>
    <row r="164" spans="1:20" x14ac:dyDescent="0.2">
      <c r="A164" s="500"/>
      <c r="B164" s="501"/>
      <c r="C164" s="501"/>
      <c r="D164" s="500"/>
      <c r="E164" s="502"/>
      <c r="F164" s="165" t="str">
        <f t="shared" ca="1" si="15"/>
        <v/>
      </c>
      <c r="G164" s="210" t="str">
        <f>IF(OR(C164="home",$X$10=1,C164=""),"",IF(ROUNDDOWN(COUNTIF($C$12:C164,C164)/IF((A164-$A$12)&lt;7,(A164+1-$A$12)/7,(A164-$A$12)/7),0)&gt;3,"Poss Commute",""))</f>
        <v/>
      </c>
      <c r="H164" s="145" t="str">
        <f t="shared" si="17"/>
        <v/>
      </c>
      <c r="I164" s="106">
        <f t="shared" si="18"/>
        <v>0</v>
      </c>
      <c r="J164" s="106">
        <f t="shared" si="19"/>
        <v>0</v>
      </c>
      <c r="K164" s="163">
        <f t="shared" ca="1" si="20"/>
        <v>0</v>
      </c>
      <c r="L164" s="168"/>
      <c r="M164" s="629"/>
      <c r="N164" s="629"/>
      <c r="O164" s="629"/>
      <c r="P164" s="629"/>
      <c r="Q164" s="176"/>
      <c r="R164" s="176"/>
      <c r="S164" s="176">
        <f t="shared" si="21"/>
        <v>0</v>
      </c>
      <c r="T164" s="166">
        <f t="shared" si="16"/>
        <v>0</v>
      </c>
    </row>
    <row r="165" spans="1:20" x14ac:dyDescent="0.2">
      <c r="A165" s="500"/>
      <c r="B165" s="501"/>
      <c r="C165" s="501"/>
      <c r="D165" s="500"/>
      <c r="E165" s="502"/>
      <c r="F165" s="165" t="str">
        <f t="shared" ca="1" si="15"/>
        <v/>
      </c>
      <c r="G165" s="210" t="str">
        <f>IF(OR(C165="home",$X$10=1,C165=""),"",IF(ROUNDDOWN(COUNTIF($C$12:C165,C165)/IF((A165-$A$12)&lt;7,(A165+1-$A$12)/7,(A165-$A$12)/7),0)&gt;3,"Poss Commute",""))</f>
        <v/>
      </c>
      <c r="H165" s="145" t="str">
        <f t="shared" si="17"/>
        <v/>
      </c>
      <c r="I165" s="106">
        <f t="shared" si="18"/>
        <v>0</v>
      </c>
      <c r="J165" s="106">
        <f t="shared" si="19"/>
        <v>0</v>
      </c>
      <c r="K165" s="163">
        <f t="shared" ca="1" si="20"/>
        <v>0</v>
      </c>
      <c r="L165" s="168"/>
      <c r="M165" s="629"/>
      <c r="N165" s="629"/>
      <c r="O165" s="629"/>
      <c r="P165" s="629"/>
      <c r="Q165" s="176"/>
      <c r="R165" s="176"/>
      <c r="S165" s="176">
        <f t="shared" si="21"/>
        <v>0</v>
      </c>
      <c r="T165" s="166">
        <f t="shared" si="16"/>
        <v>0</v>
      </c>
    </row>
    <row r="166" spans="1:20" x14ac:dyDescent="0.2">
      <c r="A166" s="500"/>
      <c r="B166" s="501"/>
      <c r="C166" s="501"/>
      <c r="D166" s="500"/>
      <c r="E166" s="502"/>
      <c r="F166" s="165" t="str">
        <f t="shared" ca="1" si="15"/>
        <v/>
      </c>
      <c r="G166" s="210" t="str">
        <f>IF(OR(C166="home",$X$10=1,C166=""),"",IF(ROUNDDOWN(COUNTIF($C$12:C166,C166)/IF((A166-$A$12)&lt;7,(A166+1-$A$12)/7,(A166-$A$12)/7),0)&gt;3,"Poss Commute",""))</f>
        <v/>
      </c>
      <c r="H166" s="145" t="str">
        <f t="shared" si="17"/>
        <v/>
      </c>
      <c r="I166" s="106">
        <f t="shared" si="18"/>
        <v>0</v>
      </c>
      <c r="J166" s="106">
        <f t="shared" si="19"/>
        <v>0</v>
      </c>
      <c r="K166" s="163">
        <f t="shared" ca="1" si="20"/>
        <v>0</v>
      </c>
      <c r="L166" s="168"/>
      <c r="M166" s="629"/>
      <c r="N166" s="629"/>
      <c r="O166" s="629"/>
      <c r="P166" s="629"/>
      <c r="Q166" s="176"/>
      <c r="R166" s="176"/>
      <c r="S166" s="176">
        <f t="shared" si="21"/>
        <v>0</v>
      </c>
      <c r="T166" s="166">
        <f t="shared" si="16"/>
        <v>0</v>
      </c>
    </row>
    <row r="167" spans="1:20" x14ac:dyDescent="0.2">
      <c r="A167" s="500"/>
      <c r="B167" s="501"/>
      <c r="C167" s="501"/>
      <c r="D167" s="500"/>
      <c r="E167" s="502"/>
      <c r="F167" s="165" t="str">
        <f t="shared" ca="1" si="15"/>
        <v/>
      </c>
      <c r="G167" s="210" t="str">
        <f>IF(OR(C167="home",$X$10=1,C167=""),"",IF(ROUNDDOWN(COUNTIF($C$12:C167,C167)/IF((A167-$A$12)&lt;7,(A167+1-$A$12)/7,(A167-$A$12)/7),0)&gt;3,"Poss Commute",""))</f>
        <v/>
      </c>
      <c r="H167" s="145" t="str">
        <f t="shared" si="17"/>
        <v/>
      </c>
      <c r="I167" s="106">
        <f t="shared" si="18"/>
        <v>0</v>
      </c>
      <c r="J167" s="106">
        <f t="shared" si="19"/>
        <v>0</v>
      </c>
      <c r="K167" s="163">
        <f t="shared" ca="1" si="20"/>
        <v>0</v>
      </c>
      <c r="L167" s="168"/>
      <c r="M167" s="629"/>
      <c r="N167" s="629"/>
      <c r="O167" s="629"/>
      <c r="P167" s="629"/>
      <c r="Q167" s="176"/>
      <c r="R167" s="176"/>
      <c r="S167" s="176">
        <f t="shared" si="21"/>
        <v>0</v>
      </c>
      <c r="T167" s="166">
        <f t="shared" si="16"/>
        <v>0</v>
      </c>
    </row>
    <row r="168" spans="1:20" x14ac:dyDescent="0.2">
      <c r="A168" s="500"/>
      <c r="B168" s="501"/>
      <c r="C168" s="501"/>
      <c r="D168" s="500"/>
      <c r="E168" s="502"/>
      <c r="F168" s="165" t="str">
        <f t="shared" ca="1" si="15"/>
        <v/>
      </c>
      <c r="G168" s="210" t="str">
        <f>IF(OR(C168="home",$X$10=1,C168=""),"",IF(ROUNDDOWN(COUNTIF($C$12:C168,C168)/IF((A168-$A$12)&lt;7,(A168+1-$A$12)/7,(A168-$A$12)/7),0)&gt;3,"Poss Commute",""))</f>
        <v/>
      </c>
      <c r="H168" s="145" t="str">
        <f t="shared" si="17"/>
        <v/>
      </c>
      <c r="I168" s="106">
        <f t="shared" si="18"/>
        <v>0</v>
      </c>
      <c r="J168" s="106">
        <f t="shared" si="19"/>
        <v>0</v>
      </c>
      <c r="K168" s="163">
        <f t="shared" ca="1" si="20"/>
        <v>0</v>
      </c>
      <c r="L168" s="168"/>
      <c r="M168" s="629"/>
      <c r="N168" s="629"/>
      <c r="O168" s="629"/>
      <c r="P168" s="629"/>
      <c r="Q168" s="176"/>
      <c r="R168" s="176"/>
      <c r="S168" s="176">
        <f t="shared" si="21"/>
        <v>0</v>
      </c>
      <c r="T168" s="166">
        <f t="shared" si="16"/>
        <v>0</v>
      </c>
    </row>
    <row r="169" spans="1:20" x14ac:dyDescent="0.2">
      <c r="A169" s="500"/>
      <c r="B169" s="501"/>
      <c r="C169" s="501"/>
      <c r="D169" s="500"/>
      <c r="E169" s="502"/>
      <c r="F169" s="165" t="str">
        <f t="shared" ca="1" si="15"/>
        <v/>
      </c>
      <c r="G169" s="210" t="str">
        <f>IF(OR(C169="home",$X$10=1,C169=""),"",IF(ROUNDDOWN(COUNTIF($C$12:C169,C169)/IF((A169-$A$12)&lt;7,(A169+1-$A$12)/7,(A169-$A$12)/7),0)&gt;3,"Poss Commute",""))</f>
        <v/>
      </c>
      <c r="H169" s="145" t="str">
        <f t="shared" si="17"/>
        <v/>
      </c>
      <c r="I169" s="106">
        <f t="shared" si="18"/>
        <v>0</v>
      </c>
      <c r="J169" s="106">
        <f t="shared" si="19"/>
        <v>0</v>
      </c>
      <c r="K169" s="163">
        <f t="shared" ca="1" si="20"/>
        <v>0</v>
      </c>
      <c r="L169" s="168"/>
      <c r="M169" s="629"/>
      <c r="N169" s="629"/>
      <c r="O169" s="629"/>
      <c r="P169" s="629"/>
      <c r="Q169" s="176"/>
      <c r="R169" s="176"/>
      <c r="S169" s="176">
        <f t="shared" si="21"/>
        <v>0</v>
      </c>
      <c r="T169" s="166">
        <f t="shared" si="16"/>
        <v>0</v>
      </c>
    </row>
    <row r="170" spans="1:20" x14ac:dyDescent="0.2">
      <c r="A170" s="500"/>
      <c r="B170" s="501"/>
      <c r="C170" s="501"/>
      <c r="D170" s="500"/>
      <c r="E170" s="502"/>
      <c r="F170" s="165" t="str">
        <f t="shared" ca="1" si="15"/>
        <v/>
      </c>
      <c r="G170" s="210" t="str">
        <f>IF(OR(C170="home",$X$10=1,C170=""),"",IF(ROUNDDOWN(COUNTIF($C$12:C170,C170)/IF((A170-$A$12)&lt;7,(A170+1-$A$12)/7,(A170-$A$12)/7),0)&gt;3,"Poss Commute",""))</f>
        <v/>
      </c>
      <c r="H170" s="145" t="str">
        <f t="shared" si="17"/>
        <v/>
      </c>
      <c r="I170" s="106">
        <f t="shared" si="18"/>
        <v>0</v>
      </c>
      <c r="J170" s="106">
        <f t="shared" si="19"/>
        <v>0</v>
      </c>
      <c r="K170" s="163">
        <f t="shared" ca="1" si="20"/>
        <v>0</v>
      </c>
      <c r="L170" s="168"/>
      <c r="M170" s="629"/>
      <c r="N170" s="629"/>
      <c r="O170" s="629"/>
      <c r="P170" s="629"/>
      <c r="Q170" s="176"/>
      <c r="R170" s="176"/>
      <c r="S170" s="176">
        <f t="shared" si="21"/>
        <v>0</v>
      </c>
      <c r="T170" s="166">
        <f t="shared" si="16"/>
        <v>0</v>
      </c>
    </row>
    <row r="171" spans="1:20" x14ac:dyDescent="0.2">
      <c r="A171" s="500"/>
      <c r="B171" s="501"/>
      <c r="C171" s="501"/>
      <c r="D171" s="500"/>
      <c r="E171" s="502"/>
      <c r="F171" s="165" t="str">
        <f t="shared" ca="1" si="15"/>
        <v/>
      </c>
      <c r="G171" s="210" t="str">
        <f>IF(OR(C171="home",$X$10=1,C171=""),"",IF(ROUNDDOWN(COUNTIF($C$12:C171,C171)/IF((A171-$A$12)&lt;7,(A171+1-$A$12)/7,(A171-$A$12)/7),0)&gt;3,"Poss Commute",""))</f>
        <v/>
      </c>
      <c r="H171" s="145" t="str">
        <f t="shared" si="17"/>
        <v/>
      </c>
      <c r="I171" s="106">
        <f t="shared" si="18"/>
        <v>0</v>
      </c>
      <c r="J171" s="106">
        <f t="shared" si="19"/>
        <v>0</v>
      </c>
      <c r="K171" s="163">
        <f t="shared" ca="1" si="20"/>
        <v>0</v>
      </c>
      <c r="L171" s="168"/>
      <c r="M171" s="629"/>
      <c r="N171" s="629"/>
      <c r="O171" s="629"/>
      <c r="P171" s="629"/>
      <c r="Q171" s="176"/>
      <c r="R171" s="176"/>
      <c r="S171" s="176">
        <f t="shared" si="21"/>
        <v>0</v>
      </c>
      <c r="T171" s="166">
        <f t="shared" si="16"/>
        <v>0</v>
      </c>
    </row>
    <row r="172" spans="1:20" x14ac:dyDescent="0.2">
      <c r="A172" s="500"/>
      <c r="B172" s="501"/>
      <c r="C172" s="501"/>
      <c r="D172" s="500"/>
      <c r="E172" s="502"/>
      <c r="F172" s="165" t="str">
        <f t="shared" ca="1" si="15"/>
        <v/>
      </c>
      <c r="G172" s="210" t="str">
        <f>IF(OR(C172="home",$X$10=1,C172=""),"",IF(ROUNDDOWN(COUNTIF($C$12:C172,C172)/IF((A172-$A$12)&lt;7,(A172+1-$A$12)/7,(A172-$A$12)/7),0)&gt;3,"Poss Commute",""))</f>
        <v/>
      </c>
      <c r="H172" s="145" t="str">
        <f t="shared" si="17"/>
        <v/>
      </c>
      <c r="I172" s="106">
        <f t="shared" si="18"/>
        <v>0</v>
      </c>
      <c r="J172" s="106">
        <f t="shared" si="19"/>
        <v>0</v>
      </c>
      <c r="K172" s="163">
        <f t="shared" ca="1" si="20"/>
        <v>0</v>
      </c>
      <c r="L172" s="168"/>
      <c r="M172" s="629"/>
      <c r="N172" s="629"/>
      <c r="O172" s="629"/>
      <c r="P172" s="629"/>
      <c r="Q172" s="176"/>
      <c r="R172" s="176"/>
      <c r="S172" s="176">
        <f t="shared" si="21"/>
        <v>0</v>
      </c>
      <c r="T172" s="166">
        <f t="shared" si="16"/>
        <v>0</v>
      </c>
    </row>
    <row r="173" spans="1:20" x14ac:dyDescent="0.2">
      <c r="A173" s="500"/>
      <c r="B173" s="501"/>
      <c r="C173" s="501"/>
      <c r="D173" s="500"/>
      <c r="E173" s="502"/>
      <c r="F173" s="165" t="str">
        <f t="shared" ca="1" si="15"/>
        <v/>
      </c>
      <c r="G173" s="210" t="str">
        <f>IF(OR(C173="home",$X$10=1,C173=""),"",IF(ROUNDDOWN(COUNTIF($C$12:C173,C173)/IF((A173-$A$12)&lt;7,(A173+1-$A$12)/7,(A173-$A$12)/7),0)&gt;3,"Poss Commute",""))</f>
        <v/>
      </c>
      <c r="H173" s="145" t="str">
        <f t="shared" si="17"/>
        <v/>
      </c>
      <c r="I173" s="106">
        <f t="shared" si="18"/>
        <v>0</v>
      </c>
      <c r="J173" s="106">
        <f t="shared" si="19"/>
        <v>0</v>
      </c>
      <c r="K173" s="163">
        <f t="shared" ca="1" si="20"/>
        <v>0</v>
      </c>
      <c r="L173" s="168"/>
      <c r="M173" s="629"/>
      <c r="N173" s="629"/>
      <c r="O173" s="629"/>
      <c r="P173" s="629"/>
      <c r="Q173" s="176"/>
      <c r="R173" s="176"/>
      <c r="S173" s="176">
        <f t="shared" si="21"/>
        <v>0</v>
      </c>
      <c r="T173" s="166">
        <f t="shared" si="16"/>
        <v>0</v>
      </c>
    </row>
    <row r="174" spans="1:20" x14ac:dyDescent="0.2">
      <c r="A174" s="500"/>
      <c r="B174" s="501"/>
      <c r="C174" s="501"/>
      <c r="D174" s="500"/>
      <c r="E174" s="502"/>
      <c r="F174" s="165" t="str">
        <f t="shared" ca="1" si="15"/>
        <v/>
      </c>
      <c r="G174" s="210" t="str">
        <f>IF(OR(C174="home",$X$10=1,C174=""),"",IF(ROUNDDOWN(COUNTIF($C$12:C174,C174)/IF((A174-$A$12)&lt;7,(A174+1-$A$12)/7,(A174-$A$12)/7),0)&gt;3,"Poss Commute",""))</f>
        <v/>
      </c>
      <c r="H174" s="145" t="str">
        <f t="shared" si="17"/>
        <v/>
      </c>
      <c r="I174" s="106">
        <f t="shared" si="18"/>
        <v>0</v>
      </c>
      <c r="J174" s="106">
        <f t="shared" si="19"/>
        <v>0</v>
      </c>
      <c r="K174" s="163">
        <f t="shared" ca="1" si="20"/>
        <v>0</v>
      </c>
      <c r="L174" s="168"/>
      <c r="M174" s="629"/>
      <c r="N174" s="629"/>
      <c r="O174" s="629"/>
      <c r="P174" s="629"/>
      <c r="Q174" s="176"/>
      <c r="R174" s="176"/>
      <c r="S174" s="176">
        <f t="shared" si="21"/>
        <v>0</v>
      </c>
      <c r="T174" s="166">
        <f t="shared" si="16"/>
        <v>0</v>
      </c>
    </row>
    <row r="175" spans="1:20" x14ac:dyDescent="0.2">
      <c r="A175" s="500"/>
      <c r="B175" s="501"/>
      <c r="C175" s="501"/>
      <c r="D175" s="500"/>
      <c r="E175" s="502"/>
      <c r="F175" s="165" t="str">
        <f t="shared" ca="1" si="15"/>
        <v/>
      </c>
      <c r="G175" s="210" t="str">
        <f>IF(OR(C175="home",$X$10=1,C175=""),"",IF(ROUNDDOWN(COUNTIF($C$12:C175,C175)/IF((A175-$A$12)&lt;7,(A175+1-$A$12)/7,(A175-$A$12)/7),0)&gt;3,"Poss Commute",""))</f>
        <v/>
      </c>
      <c r="H175" s="145" t="str">
        <f t="shared" si="17"/>
        <v/>
      </c>
      <c r="I175" s="106">
        <f t="shared" si="18"/>
        <v>0</v>
      </c>
      <c r="J175" s="106">
        <f t="shared" si="19"/>
        <v>0</v>
      </c>
      <c r="K175" s="163">
        <f t="shared" ca="1" si="20"/>
        <v>0</v>
      </c>
      <c r="L175" s="168"/>
      <c r="M175" s="629"/>
      <c r="N175" s="629"/>
      <c r="O175" s="629"/>
      <c r="P175" s="629"/>
      <c r="Q175" s="176"/>
      <c r="R175" s="176"/>
      <c r="S175" s="176">
        <f t="shared" si="21"/>
        <v>0</v>
      </c>
      <c r="T175" s="166">
        <f t="shared" si="16"/>
        <v>0</v>
      </c>
    </row>
    <row r="176" spans="1:20" x14ac:dyDescent="0.2">
      <c r="A176" s="500"/>
      <c r="B176" s="501"/>
      <c r="C176" s="501"/>
      <c r="D176" s="500"/>
      <c r="E176" s="502"/>
      <c r="F176" s="165" t="str">
        <f t="shared" ca="1" si="15"/>
        <v/>
      </c>
      <c r="G176" s="210" t="str">
        <f>IF(OR(C176="home",$X$10=1,C176=""),"",IF(ROUNDDOWN(COUNTIF($C$12:C176,C176)/IF((A176-$A$12)&lt;7,(A176+1-$A$12)/7,(A176-$A$12)/7),0)&gt;3,"Poss Commute",""))</f>
        <v/>
      </c>
      <c r="H176" s="145" t="str">
        <f t="shared" si="17"/>
        <v/>
      </c>
      <c r="I176" s="106">
        <f t="shared" si="18"/>
        <v>0</v>
      </c>
      <c r="J176" s="106">
        <f t="shared" si="19"/>
        <v>0</v>
      </c>
      <c r="K176" s="163">
        <f t="shared" ca="1" si="20"/>
        <v>0</v>
      </c>
      <c r="L176" s="168"/>
      <c r="M176" s="629"/>
      <c r="N176" s="629"/>
      <c r="O176" s="629"/>
      <c r="P176" s="629"/>
      <c r="Q176" s="176"/>
      <c r="R176" s="176"/>
      <c r="S176" s="176">
        <f t="shared" si="21"/>
        <v>0</v>
      </c>
      <c r="T176" s="166">
        <f t="shared" si="16"/>
        <v>0</v>
      </c>
    </row>
    <row r="177" spans="1:20" x14ac:dyDescent="0.2">
      <c r="A177" s="500"/>
      <c r="B177" s="501"/>
      <c r="C177" s="501"/>
      <c r="D177" s="500"/>
      <c r="E177" s="502"/>
      <c r="F177" s="165" t="str">
        <f t="shared" ca="1" si="15"/>
        <v/>
      </c>
      <c r="G177" s="210" t="str">
        <f>IF(OR(C177="home",$X$10=1,C177=""),"",IF(ROUNDDOWN(COUNTIF($C$12:C177,C177)/IF((A177-$A$12)&lt;7,(A177+1-$A$12)/7,(A177-$A$12)/7),0)&gt;3,"Poss Commute",""))</f>
        <v/>
      </c>
      <c r="H177" s="145" t="str">
        <f t="shared" si="17"/>
        <v/>
      </c>
      <c r="I177" s="106">
        <f t="shared" si="18"/>
        <v>0</v>
      </c>
      <c r="J177" s="106">
        <f t="shared" si="19"/>
        <v>0</v>
      </c>
      <c r="K177" s="163">
        <f t="shared" ca="1" si="20"/>
        <v>0</v>
      </c>
      <c r="L177" s="168"/>
      <c r="M177" s="629"/>
      <c r="N177" s="629"/>
      <c r="O177" s="629"/>
      <c r="P177" s="629"/>
      <c r="Q177" s="198"/>
      <c r="R177" s="198"/>
      <c r="S177" s="198">
        <f t="shared" si="21"/>
        <v>0</v>
      </c>
      <c r="T177" s="166">
        <f t="shared" si="16"/>
        <v>0</v>
      </c>
    </row>
    <row r="178" spans="1:20" ht="15.75" thickBot="1" x14ac:dyDescent="0.25">
      <c r="D178" s="6" t="s">
        <v>34</v>
      </c>
      <c r="E178" s="230" t="str">
        <f>IF(F179&gt;3,SUM(E132:E177)-K178+Q178,"Please fill in")</f>
        <v>Please fill in</v>
      </c>
      <c r="F178" s="146"/>
      <c r="G178" s="146"/>
      <c r="H178" s="145">
        <f>COUNTIF(G132:G177,"PR")</f>
        <v>0</v>
      </c>
      <c r="I178" s="202">
        <f>SUM(I132:I177)</f>
        <v>0</v>
      </c>
      <c r="J178" s="202">
        <f>SUM(J132:J177)</f>
        <v>0</v>
      </c>
      <c r="K178" s="203">
        <f ca="1">SUM(K132:K177)</f>
        <v>0</v>
      </c>
      <c r="M178" s="629" t="str">
        <f>M177&amp;M176&amp;M175&amp;M174&amp;M173&amp;M172&amp;M171&amp;M170&amp;M169&amp;M168&amp;M167&amp;M166&amp;M165&amp;M164&amp;M163&amp;M162&amp;M161&amp;M160&amp;M159&amp;M158&amp;M157&amp;M156&amp;M155&amp;M154&amp;M153&amp;M152&amp;M151&amp;M150&amp;M149&amp;M148&amp;M147&amp;M146&amp;M145&amp;M144&amp;M143&amp;M142&amp;M141&amp;M140&amp;M139&amp;M138&amp;M137&amp;M136&amp;M135&amp;M134&amp;M133&amp;M132</f>
        <v/>
      </c>
      <c r="N178" s="629"/>
      <c r="O178" s="629"/>
      <c r="P178" s="629"/>
      <c r="Q178" s="199">
        <f>SUM(Q132:Q177)+S178</f>
        <v>0</v>
      </c>
      <c r="R178" s="200">
        <f>COUNTA(R132:R177)</f>
        <v>0</v>
      </c>
      <c r="S178" s="201">
        <f>SUM(S132:S177)</f>
        <v>0</v>
      </c>
      <c r="T178" s="207">
        <f>SUM(T132:T177)</f>
        <v>0</v>
      </c>
    </row>
    <row r="179" spans="1:20" ht="15.75" thickTop="1" x14ac:dyDescent="0.2">
      <c r="C179" s="296"/>
      <c r="D179" s="6" t="s">
        <v>91</v>
      </c>
      <c r="E179" s="231" t="str">
        <f>IF(F179&gt;3,IF(A132=0,new_rate,IF(A132&lt;L127,old_rate,new_rate)),"the yellow spaces")</f>
        <v>the yellow spaces</v>
      </c>
      <c r="F179" s="229">
        <f>F119</f>
        <v>1</v>
      </c>
      <c r="G179" s="146"/>
      <c r="T179" s="207">
        <f>(T178+T118+T58)*new_rate</f>
        <v>0</v>
      </c>
    </row>
    <row r="180" spans="1:20" x14ac:dyDescent="0.2">
      <c r="D180" s="6" t="s">
        <v>36</v>
      </c>
      <c r="E180" s="230" t="str">
        <f>IF(F179&gt;3,(E178*E179)+I178+J178,"on summary page")</f>
        <v>on summary page</v>
      </c>
      <c r="F180" s="146"/>
      <c r="G180" s="146"/>
      <c r="R180" s="253">
        <f>R178+R118+R58</f>
        <v>0</v>
      </c>
    </row>
  </sheetData>
  <sheetProtection algorithmName="SHA-512" hashValue="GYgcjOia0ErA7ZjhBplpPNnQ2WC46kvvJUqly3urguGDn+O0EYJK6PxuAL7OPTH5mUT36SsQMqlbfvJIgduRlw==" saltValue="cHHw76N3mxGyZg79HIb3Gg==" spinCount="100000" sheet="1" objects="1" scenarios="1"/>
  <sortState ref="Z11:AA36">
    <sortCondition ref="Z11"/>
  </sortState>
  <mergeCells count="159">
    <mergeCell ref="B9:C9"/>
    <mergeCell ref="A9:A10"/>
    <mergeCell ref="E9:E11"/>
    <mergeCell ref="D9:D11"/>
    <mergeCell ref="A69:A70"/>
    <mergeCell ref="B69:C69"/>
    <mergeCell ref="L10:P10"/>
    <mergeCell ref="M24:P24"/>
    <mergeCell ref="M47:P47"/>
    <mergeCell ref="M48:P48"/>
    <mergeCell ref="M49:P49"/>
    <mergeCell ref="M12:P12"/>
    <mergeCell ref="M13:P13"/>
    <mergeCell ref="M14:P14"/>
    <mergeCell ref="M25:P25"/>
    <mergeCell ref="M26:P26"/>
    <mergeCell ref="M27:P27"/>
    <mergeCell ref="M28:P28"/>
    <mergeCell ref="M21:P21"/>
    <mergeCell ref="M22:P22"/>
    <mergeCell ref="M23:P23"/>
    <mergeCell ref="M15:P15"/>
    <mergeCell ref="M16:P16"/>
    <mergeCell ref="M17:P17"/>
    <mergeCell ref="M84:P84"/>
    <mergeCell ref="M98:P98"/>
    <mergeCell ref="M40:P40"/>
    <mergeCell ref="M41:P41"/>
    <mergeCell ref="M42:P42"/>
    <mergeCell ref="M43:P43"/>
    <mergeCell ref="M44:P44"/>
    <mergeCell ref="D69:D71"/>
    <mergeCell ref="E69:E71"/>
    <mergeCell ref="M85:P85"/>
    <mergeCell ref="M86:P86"/>
    <mergeCell ref="M87:P87"/>
    <mergeCell ref="M83:P83"/>
    <mergeCell ref="M54:P54"/>
    <mergeCell ref="M74:P74"/>
    <mergeCell ref="M75:P75"/>
    <mergeCell ref="M18:P18"/>
    <mergeCell ref="M19:P19"/>
    <mergeCell ref="M20:P20"/>
    <mergeCell ref="M89:P89"/>
    <mergeCell ref="M90:P90"/>
    <mergeCell ref="M91:P91"/>
    <mergeCell ref="M134:P134"/>
    <mergeCell ref="M135:P135"/>
    <mergeCell ref="M132:P132"/>
    <mergeCell ref="M133:P133"/>
    <mergeCell ref="M117:P117"/>
    <mergeCell ref="M108:P108"/>
    <mergeCell ref="M109:P109"/>
    <mergeCell ref="M115:P115"/>
    <mergeCell ref="M116:P116"/>
    <mergeCell ref="M92:P92"/>
    <mergeCell ref="M103:P103"/>
    <mergeCell ref="M104:P104"/>
    <mergeCell ref="M105:P105"/>
    <mergeCell ref="M106:P106"/>
    <mergeCell ref="M107:P107"/>
    <mergeCell ref="M99:P99"/>
    <mergeCell ref="M113:P113"/>
    <mergeCell ref="M114:P114"/>
    <mergeCell ref="M100:P100"/>
    <mergeCell ref="M101:P101"/>
    <mergeCell ref="M102:P102"/>
    <mergeCell ref="A129:A130"/>
    <mergeCell ref="B129:C129"/>
    <mergeCell ref="D129:D131"/>
    <mergeCell ref="E129:E131"/>
    <mergeCell ref="M141:P141"/>
    <mergeCell ref="M29:P29"/>
    <mergeCell ref="M35:P35"/>
    <mergeCell ref="M36:P36"/>
    <mergeCell ref="M37:P37"/>
    <mergeCell ref="M38:P38"/>
    <mergeCell ref="M39:P39"/>
    <mergeCell ref="M30:P30"/>
    <mergeCell ref="M31:P31"/>
    <mergeCell ref="M32:P32"/>
    <mergeCell ref="M33:P33"/>
    <mergeCell ref="M34:P34"/>
    <mergeCell ref="M81:P81"/>
    <mergeCell ref="M82:P82"/>
    <mergeCell ref="M51:P51"/>
    <mergeCell ref="M52:P52"/>
    <mergeCell ref="M53:P53"/>
    <mergeCell ref="M110:P110"/>
    <mergeCell ref="M111:P111"/>
    <mergeCell ref="M143:P143"/>
    <mergeCell ref="M77:P77"/>
    <mergeCell ref="M78:P78"/>
    <mergeCell ref="M79:P79"/>
    <mergeCell ref="M80:P80"/>
    <mergeCell ref="M142:P142"/>
    <mergeCell ref="T10:T11"/>
    <mergeCell ref="T70:T71"/>
    <mergeCell ref="T130:T131"/>
    <mergeCell ref="L70:P70"/>
    <mergeCell ref="L130:P130"/>
    <mergeCell ref="M76:P76"/>
    <mergeCell ref="M136:P136"/>
    <mergeCell ref="M112:P112"/>
    <mergeCell ref="M118:P118"/>
    <mergeCell ref="M93:P93"/>
    <mergeCell ref="M94:P94"/>
    <mergeCell ref="M95:P95"/>
    <mergeCell ref="M96:P96"/>
    <mergeCell ref="M97:P97"/>
    <mergeCell ref="M137:P137"/>
    <mergeCell ref="M138:P138"/>
    <mergeCell ref="M139:P139"/>
    <mergeCell ref="M140:P140"/>
    <mergeCell ref="M178:P178"/>
    <mergeCell ref="M45:P45"/>
    <mergeCell ref="M46:P46"/>
    <mergeCell ref="M58:P58"/>
    <mergeCell ref="M50:P50"/>
    <mergeCell ref="M156:P156"/>
    <mergeCell ref="M145:P145"/>
    <mergeCell ref="M151:P151"/>
    <mergeCell ref="M152:P152"/>
    <mergeCell ref="M153:P153"/>
    <mergeCell ref="M88:P88"/>
    <mergeCell ref="M55:P55"/>
    <mergeCell ref="M56:P56"/>
    <mergeCell ref="M57:P57"/>
    <mergeCell ref="M154:P154"/>
    <mergeCell ref="M155:P155"/>
    <mergeCell ref="M146:P146"/>
    <mergeCell ref="M147:P147"/>
    <mergeCell ref="M148:P148"/>
    <mergeCell ref="M177:P177"/>
    <mergeCell ref="M72:P72"/>
    <mergeCell ref="M73:P73"/>
    <mergeCell ref="M149:P149"/>
    <mergeCell ref="M150:P150"/>
    <mergeCell ref="M175:P175"/>
    <mergeCell ref="M173:P173"/>
    <mergeCell ref="M174:P174"/>
    <mergeCell ref="M171:P171"/>
    <mergeCell ref="M172:P172"/>
    <mergeCell ref="M176:P176"/>
    <mergeCell ref="M144:P144"/>
    <mergeCell ref="M170:P170"/>
    <mergeCell ref="M166:P166"/>
    <mergeCell ref="M167:P167"/>
    <mergeCell ref="M168:P168"/>
    <mergeCell ref="M169:P169"/>
    <mergeCell ref="M157:P157"/>
    <mergeCell ref="M158:P158"/>
    <mergeCell ref="M159:P159"/>
    <mergeCell ref="M160:P160"/>
    <mergeCell ref="M161:P161"/>
    <mergeCell ref="M162:P162"/>
    <mergeCell ref="M163:P163"/>
    <mergeCell ref="M164:P164"/>
    <mergeCell ref="M165:P165"/>
  </mergeCells>
  <phoneticPr fontId="0" type="noConversion"/>
  <conditionalFormatting sqref="D58">
    <cfRule type="expression" dxfId="279" priority="48">
      <formula>F58="disallow"</formula>
    </cfRule>
  </conditionalFormatting>
  <conditionalFormatting sqref="D58">
    <cfRule type="expression" dxfId="278" priority="25">
      <formula>G58="disallow"</formula>
    </cfRule>
  </conditionalFormatting>
  <conditionalFormatting sqref="D58">
    <cfRule type="expression" dxfId="277" priority="23">
      <formula>H58="disallow"</formula>
    </cfRule>
  </conditionalFormatting>
  <conditionalFormatting sqref="A12:E57">
    <cfRule type="expression" dxfId="276" priority="14">
      <formula>AND($F12="disallow",$R12="")</formula>
    </cfRule>
  </conditionalFormatting>
  <conditionalFormatting sqref="A132:D177">
    <cfRule type="expression" priority="12">
      <formula>AND($F132="disallow",$R132="")</formula>
    </cfRule>
  </conditionalFormatting>
  <conditionalFormatting sqref="A132:D177">
    <cfRule type="expression" priority="10">
      <formula>AND($F132="disallow",$R132="")</formula>
    </cfRule>
  </conditionalFormatting>
  <conditionalFormatting sqref="A132:D177">
    <cfRule type="expression" dxfId="275" priority="9">
      <formula>AND($F132="disallow",$R132="")</formula>
    </cfRule>
  </conditionalFormatting>
  <conditionalFormatting sqref="E58:E60">
    <cfRule type="expression" dxfId="274" priority="8">
      <formula>$F$59&lt;4</formula>
    </cfRule>
  </conditionalFormatting>
  <conditionalFormatting sqref="E118:E120">
    <cfRule type="expression" dxfId="273" priority="7">
      <formula>$F$59&lt;4</formula>
    </cfRule>
  </conditionalFormatting>
  <conditionalFormatting sqref="E178:E180">
    <cfRule type="expression" dxfId="272" priority="6">
      <formula>$F$59&lt;4</formula>
    </cfRule>
  </conditionalFormatting>
  <conditionalFormatting sqref="B132:C177">
    <cfRule type="expression" dxfId="271" priority="4">
      <formula>AND($F132="disallow",$R132="")</formula>
    </cfRule>
  </conditionalFormatting>
  <conditionalFormatting sqref="E132:E177">
    <cfRule type="expression" dxfId="270" priority="2">
      <formula>AND($F132="disallow",$R132="")</formula>
    </cfRule>
  </conditionalFormatting>
  <conditionalFormatting sqref="A72:E117">
    <cfRule type="expression" dxfId="269" priority="1">
      <formula>AND($F72="disallow",$R72="")</formula>
    </cfRule>
  </conditionalFormatting>
  <dataValidations count="1">
    <dataValidation type="date" operator="greaterThan" allowBlank="1" showInputMessage="1" showErrorMessage="1" promptTitle="date format" prompt="Please use format of mm/dd/yy " sqref="A12:A57 A132:A177 A72:A117" xr:uid="{00000000-0002-0000-0500-000000000000}">
      <formula1>40909</formula1>
    </dataValidation>
  </dataValidations>
  <pageMargins left="0.75" right="0.75" top="1" bottom="1" header="0.5" footer="0.5"/>
  <pageSetup scale="64" fitToHeight="3" orientation="portrait" r:id="rId1"/>
  <headerFooter alignWithMargins="0">
    <oddHeader xml:space="preserve">&amp;C&amp;"Arial,Bold"&amp;14Mileage Log Sheet
</oddHeader>
  </headerFooter>
  <rowBreaks count="2" manualBreakCount="2">
    <brk id="60" max="6" man="1"/>
    <brk id="120" max="6" man="1"/>
  </rowBreaks>
  <colBreaks count="1" manualBreakCount="1">
    <brk id="7" max="1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L59"/>
  <sheetViews>
    <sheetView view="pageBreakPreview" zoomScale="75" zoomScaleNormal="100" zoomScaleSheetLayoutView="75" workbookViewId="0">
      <selection activeCell="M21" sqref="M21"/>
    </sheetView>
  </sheetViews>
  <sheetFormatPr defaultRowHeight="12.75" outlineLevelCol="1" x14ac:dyDescent="0.2"/>
  <cols>
    <col min="1" max="2" width="10.7109375" customWidth="1"/>
    <col min="3" max="3" width="11.5703125" customWidth="1"/>
    <col min="4" max="4" width="10.7109375" customWidth="1"/>
    <col min="5" max="7" width="23.7109375" customWidth="1"/>
    <col min="8" max="11" width="12.28515625" customWidth="1"/>
    <col min="12" max="12" width="12.28515625" style="46" customWidth="1"/>
    <col min="13" max="13" width="5.42578125" style="53" customWidth="1"/>
    <col min="14" max="14" width="2.42578125" style="53" customWidth="1"/>
    <col min="15" max="15" width="1.7109375" customWidth="1"/>
    <col min="16" max="16" width="6.5703125" style="106" customWidth="1"/>
    <col min="17" max="19" width="9.140625" style="106" customWidth="1"/>
    <col min="21" max="21" width="4.42578125" customWidth="1"/>
    <col min="22" max="22" width="9.140625" style="163" customWidth="1"/>
    <col min="23" max="23" width="7" customWidth="1"/>
    <col min="27" max="37" width="8.7109375" hidden="1" customWidth="1" outlineLevel="1"/>
    <col min="38" max="38" width="9.140625" collapsed="1"/>
  </cols>
  <sheetData>
    <row r="1" spans="1:37" x14ac:dyDescent="0.2">
      <c r="A1" s="639" t="s">
        <v>27</v>
      </c>
      <c r="B1" s="640"/>
      <c r="C1" s="640"/>
      <c r="D1" s="640"/>
      <c r="E1" s="641"/>
      <c r="J1" s="5" t="s">
        <v>80</v>
      </c>
      <c r="K1" s="4" t="str">
        <f>Mileage!E1</f>
        <v>Gordy Decker</v>
      </c>
      <c r="L1" s="45"/>
      <c r="M1" s="54"/>
      <c r="N1" s="54"/>
    </row>
    <row r="2" spans="1:37" x14ac:dyDescent="0.2">
      <c r="A2" s="375" t="s">
        <v>3</v>
      </c>
      <c r="B2" s="376"/>
      <c r="C2" s="377"/>
      <c r="D2" s="375" t="s">
        <v>7</v>
      </c>
      <c r="E2" s="377"/>
      <c r="J2" s="5" t="s">
        <v>109</v>
      </c>
      <c r="K2" s="43">
        <f>Mileage!E2</f>
        <v>0</v>
      </c>
    </row>
    <row r="3" spans="1:37" x14ac:dyDescent="0.2">
      <c r="A3" s="378" t="s">
        <v>4</v>
      </c>
      <c r="B3" s="379"/>
      <c r="C3" s="380"/>
      <c r="D3" s="378" t="s">
        <v>6</v>
      </c>
      <c r="E3" s="380"/>
    </row>
    <row r="4" spans="1:37" x14ac:dyDescent="0.2">
      <c r="A4" s="381" t="s">
        <v>5</v>
      </c>
      <c r="B4" s="382"/>
      <c r="C4" s="383"/>
      <c r="D4" s="381" t="s">
        <v>1104</v>
      </c>
      <c r="E4" s="383"/>
      <c r="G4" s="448" t="s">
        <v>1650</v>
      </c>
      <c r="I4" s="448"/>
      <c r="J4" s="448"/>
      <c r="K4" s="448"/>
      <c r="L4" s="448"/>
    </row>
    <row r="5" spans="1:37" x14ac:dyDescent="0.2">
      <c r="G5" s="449" t="s">
        <v>1649</v>
      </c>
      <c r="I5" s="448"/>
      <c r="J5" s="448"/>
      <c r="K5" s="448"/>
      <c r="L5" s="448"/>
    </row>
    <row r="6" spans="1:37" x14ac:dyDescent="0.2">
      <c r="G6" s="106" t="s">
        <v>1758</v>
      </c>
      <c r="K6" s="440"/>
      <c r="L6"/>
    </row>
    <row r="7" spans="1:37" x14ac:dyDescent="0.2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652"/>
      <c r="K7" s="653"/>
      <c r="L7" s="654"/>
    </row>
    <row r="8" spans="1:37" x14ac:dyDescent="0.2">
      <c r="A8" s="633"/>
      <c r="B8" s="634"/>
      <c r="C8" s="634"/>
      <c r="D8" s="634"/>
      <c r="E8" s="635"/>
      <c r="G8" s="661" t="s">
        <v>115</v>
      </c>
      <c r="H8" s="662"/>
      <c r="I8" s="663"/>
      <c r="J8" s="655"/>
      <c r="K8" s="656"/>
      <c r="L8" s="657"/>
    </row>
    <row r="9" spans="1:37" x14ac:dyDescent="0.2">
      <c r="A9" s="633"/>
      <c r="B9" s="634"/>
      <c r="C9" s="634"/>
      <c r="D9" s="634"/>
      <c r="E9" s="635"/>
      <c r="G9" s="661" t="s">
        <v>116</v>
      </c>
      <c r="H9" s="662"/>
      <c r="I9" s="663"/>
      <c r="J9" s="655"/>
      <c r="K9" s="656"/>
      <c r="L9" s="657"/>
    </row>
    <row r="10" spans="1:37" x14ac:dyDescent="0.2">
      <c r="A10" s="633"/>
      <c r="B10" s="634"/>
      <c r="C10" s="634"/>
      <c r="D10" s="634"/>
      <c r="E10" s="635"/>
      <c r="G10" s="646"/>
      <c r="H10" s="647"/>
      <c r="I10" s="648"/>
      <c r="J10" s="655"/>
      <c r="K10" s="656"/>
      <c r="L10" s="657"/>
    </row>
    <row r="11" spans="1:37" x14ac:dyDescent="0.2">
      <c r="A11" s="633"/>
      <c r="B11" s="634"/>
      <c r="C11" s="634"/>
      <c r="D11" s="634"/>
      <c r="E11" s="635"/>
      <c r="G11" s="646"/>
      <c r="H11" s="647"/>
      <c r="I11" s="648"/>
      <c r="J11" s="655"/>
      <c r="K11" s="656"/>
      <c r="L11" s="657"/>
    </row>
    <row r="12" spans="1:37" x14ac:dyDescent="0.2">
      <c r="A12" s="636"/>
      <c r="B12" s="637"/>
      <c r="C12" s="637"/>
      <c r="D12" s="637"/>
      <c r="E12" s="638"/>
      <c r="G12" s="649"/>
      <c r="H12" s="650"/>
      <c r="I12" s="651"/>
      <c r="J12" s="692"/>
      <c r="K12" s="693"/>
      <c r="L12" s="694"/>
    </row>
    <row r="13" spans="1:37" x14ac:dyDescent="0.2">
      <c r="B13" s="2"/>
    </row>
    <row r="14" spans="1:37" ht="15" customHeight="1" x14ac:dyDescent="0.2">
      <c r="A14" s="35" t="s">
        <v>28</v>
      </c>
      <c r="B14" s="688" t="s">
        <v>48</v>
      </c>
      <c r="C14" s="688"/>
      <c r="D14" s="688"/>
      <c r="H14" s="688" t="s">
        <v>30</v>
      </c>
      <c r="I14" s="688"/>
      <c r="J14" s="688"/>
      <c r="K14" s="688"/>
      <c r="P14" s="667" t="s">
        <v>186</v>
      </c>
      <c r="Q14" s="667"/>
      <c r="R14" s="667"/>
      <c r="S14" s="667"/>
      <c r="T14" s="667"/>
      <c r="U14" s="665" t="s">
        <v>288</v>
      </c>
      <c r="V14" s="665" t="s">
        <v>292</v>
      </c>
      <c r="W14" s="665" t="s">
        <v>507</v>
      </c>
      <c r="X14" s="163"/>
      <c r="Y14" s="665" t="s">
        <v>664</v>
      </c>
    </row>
    <row r="15" spans="1:37" ht="15" x14ac:dyDescent="0.2">
      <c r="A15" s="98" t="s">
        <v>104</v>
      </c>
      <c r="B15" s="688" t="s">
        <v>816</v>
      </c>
      <c r="C15" s="688"/>
      <c r="D15" s="688"/>
      <c r="E15" s="688" t="s">
        <v>29</v>
      </c>
      <c r="F15" s="688"/>
      <c r="G15" s="688"/>
      <c r="H15" s="695" t="s">
        <v>90</v>
      </c>
      <c r="I15" s="695"/>
      <c r="J15" s="695"/>
      <c r="K15" s="695"/>
      <c r="L15" s="281" t="s">
        <v>31</v>
      </c>
      <c r="M15" s="478">
        <f ca="1">COUNTIF(M17:M57,"disallow")</f>
        <v>0</v>
      </c>
      <c r="O15" s="46"/>
      <c r="P15" s="167" t="s">
        <v>286</v>
      </c>
      <c r="Q15" s="672" t="s">
        <v>287</v>
      </c>
      <c r="R15" s="672"/>
      <c r="S15" s="672"/>
      <c r="T15" s="672"/>
      <c r="U15" s="666"/>
      <c r="V15" s="666"/>
      <c r="W15" s="666"/>
      <c r="X15" s="163"/>
      <c r="Y15" s="666"/>
      <c r="AA15" s="464" t="s">
        <v>1654</v>
      </c>
      <c r="AB15" s="465" t="s">
        <v>181</v>
      </c>
      <c r="AC15" s="465" t="s">
        <v>180</v>
      </c>
      <c r="AD15" s="469" t="s">
        <v>1655</v>
      </c>
      <c r="AE15" s="466"/>
      <c r="AF15" s="690" t="s">
        <v>1656</v>
      </c>
      <c r="AG15" s="691"/>
      <c r="AH15" s="458"/>
      <c r="AI15" s="690" t="s">
        <v>1662</v>
      </c>
      <c r="AJ15" s="691"/>
      <c r="AK15" s="458"/>
    </row>
    <row r="16" spans="1:37" ht="12.75" hidden="1" customHeight="1" x14ac:dyDescent="0.2">
      <c r="A16" s="98"/>
      <c r="B16" s="689"/>
      <c r="C16" s="689"/>
      <c r="D16" s="689"/>
      <c r="E16" s="689"/>
      <c r="F16" s="689"/>
      <c r="G16" s="689"/>
      <c r="H16" s="689"/>
      <c r="I16" s="689"/>
      <c r="J16" s="689"/>
      <c r="K16" s="689"/>
      <c r="L16" s="61"/>
      <c r="M16" s="54" t="str">
        <f>IF(L16&gt;=75,"*"," ")</f>
        <v xml:space="preserve"> </v>
      </c>
      <c r="N16" s="54"/>
      <c r="O16" s="44" t="str">
        <f>IF(L16&gt;=75,L16," ")</f>
        <v xml:space="preserve"> </v>
      </c>
      <c r="P16" s="166"/>
      <c r="Q16" s="166"/>
      <c r="R16" s="166"/>
      <c r="S16" s="166"/>
      <c r="T16" s="166"/>
      <c r="U16" s="166"/>
      <c r="W16" s="163"/>
      <c r="X16" s="163"/>
      <c r="Y16" s="166"/>
      <c r="AA16" s="460"/>
      <c r="AB16" s="257"/>
      <c r="AC16" s="257"/>
      <c r="AD16" s="257"/>
      <c r="AE16" s="467"/>
      <c r="AF16" s="102"/>
      <c r="AG16" s="14"/>
      <c r="AH16" s="459"/>
      <c r="AI16" s="102"/>
      <c r="AJ16" s="14"/>
      <c r="AK16" s="459"/>
    </row>
    <row r="17" spans="1:37" x14ac:dyDescent="0.2">
      <c r="A17" s="494"/>
      <c r="B17" s="686"/>
      <c r="C17" s="687"/>
      <c r="D17" s="687"/>
      <c r="E17" s="686"/>
      <c r="F17" s="687"/>
      <c r="G17" s="687"/>
      <c r="H17" s="686"/>
      <c r="I17" s="687"/>
      <c r="J17" s="687"/>
      <c r="K17" s="687"/>
      <c r="L17" s="495"/>
      <c r="M17" s="164" t="str">
        <f ca="1">IF($AE17&gt;0,"***",IF(A17&gt;0,IF(submit_date&gt;0,IF(submit_date-A17&gt;60,"disallow",IF(L17&gt;=75,IF(AND(N17="",TODAY()-submit_date&gt;30),"disallow","*"),"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"))),IF(L17&gt;=75,IF(AND(N17="",TODAY()-submit_date&gt;30),"disallow","*"),IF(COUNTIF(AA17:AE17,"true")&gt;0,"*",""))))</f>
        <v/>
      </c>
      <c r="N17" s="161"/>
      <c r="O17" s="163" t="str">
        <f ca="1">IF(AND(L17&gt;=75,M17&lt;&gt;"disallow"),1," ")</f>
        <v xml:space="preserve"> </v>
      </c>
      <c r="P17" s="168"/>
      <c r="Q17" s="629"/>
      <c r="R17" s="629"/>
      <c r="S17" s="629"/>
      <c r="T17" s="629"/>
      <c r="U17" s="188"/>
      <c r="V17" s="189">
        <f t="shared" ref="V17:V54" ca="1" si="0">IF(AND(M17="disallow",W17=0),L17,0)</f>
        <v>0</v>
      </c>
      <c r="W17" s="195">
        <v>1</v>
      </c>
      <c r="X17" s="195">
        <f t="shared" ref="X17:X54" si="1">IF(AND(U17&lt;&gt;0,W17&gt;0),-U17,0)</f>
        <v>0</v>
      </c>
      <c r="Y17" s="166">
        <f t="shared" ref="Y17:Y54" si="2">IF(AND(A17&lt;Fiscal_Start_Date,submit_date-A17&lt;90),L17,0)</f>
        <v>0</v>
      </c>
      <c r="AA17" s="460" t="b">
        <f>SUMPRODUCT(--ISNUMBER(SEARCH(AA$15,$B17:$G17)))&gt;0</f>
        <v>0</v>
      </c>
      <c r="AB17" s="257" t="b">
        <f t="shared" ref="AB17:AC32" si="3">SUMPRODUCT(--ISNUMBER(SEARCH(AB$15,$B17:$G17)))&gt;0</f>
        <v>0</v>
      </c>
      <c r="AC17" s="257" t="b">
        <f t="shared" si="3"/>
        <v>0</v>
      </c>
      <c r="AD17" s="257" t="b">
        <f t="shared" ref="AD17:AD54" si="4">SUMPRODUCT(--ISNUMBER(SEARCH(AD$15,$B17:$G17)))&gt;0</f>
        <v>0</v>
      </c>
      <c r="AE17" s="459">
        <f>COUNTIF(AA17:AD17,"True")</f>
        <v>0</v>
      </c>
      <c r="AF17" s="460" t="b">
        <f>SUMPRODUCT(--ISNUMBER(SEARCH(AF$15,$B17)))&gt;0</f>
        <v>0</v>
      </c>
      <c r="AG17" s="257" t="b">
        <f>SUMPRODUCT(--ISNUMBER(SEARCH(AF$15,$E17:$K17)))&gt;0</f>
        <v>0</v>
      </c>
      <c r="AH17" s="459">
        <f>COUNTIF(AF17:AG17,"True")</f>
        <v>0</v>
      </c>
      <c r="AI17" s="460" t="b">
        <f>SUMPRODUCT(--ISNUMBER(SEARCH(AI$15,$B17)))&gt;0</f>
        <v>0</v>
      </c>
      <c r="AJ17" s="257" t="b">
        <f>SUMPRODUCT(--ISNUMBER(SEARCH(AI$15,$E17:$K17)))&gt;0</f>
        <v>0</v>
      </c>
      <c r="AK17" s="459">
        <f>COUNTIF(AI17:AJ17,"True")</f>
        <v>0</v>
      </c>
    </row>
    <row r="18" spans="1:37" x14ac:dyDescent="0.2">
      <c r="A18" s="494"/>
      <c r="B18" s="686"/>
      <c r="C18" s="687"/>
      <c r="D18" s="687"/>
      <c r="E18" s="686"/>
      <c r="F18" s="687"/>
      <c r="G18" s="687"/>
      <c r="H18" s="686"/>
      <c r="I18" s="687"/>
      <c r="J18" s="687"/>
      <c r="K18" s="687"/>
      <c r="L18" s="495"/>
      <c r="M18" s="164" t="str">
        <f t="shared" ref="M18:M54" ca="1" si="5">IF(A18&gt;0,IF(submit_date&gt;0,IF(submit_date-A18&gt;60,"disallow",IF(L18&gt;=75,IF(AND(N18="",TODAY()-submit_date&gt;30),"disallow","*")," ")),IF(TODAY()-A18&gt;60,"disallow",IF(L18&gt;=75,IF(AND(N18="",TODAY()-submit_date&gt;30),"disallow","*")," "))),IF(L18&gt;=75,IF(AND(N18="",TODAY()-submit_date&gt;30),"disallow","*"),IF(COUNTIF(AA18:AE18,"true")&gt;0,"*","")))</f>
        <v/>
      </c>
      <c r="N18" s="161"/>
      <c r="O18" s="163" t="str">
        <f t="shared" ref="O18:O54" ca="1" si="6">IF(AND(L18&gt;=75,M18&lt;&gt;"disallow"),1," ")</f>
        <v xml:space="preserve"> </v>
      </c>
      <c r="P18" s="168"/>
      <c r="Q18" s="629"/>
      <c r="R18" s="629"/>
      <c r="S18" s="629"/>
      <c r="T18" s="629"/>
      <c r="U18" s="188">
        <v>0</v>
      </c>
      <c r="V18" s="189">
        <f t="shared" ca="1" si="0"/>
        <v>0</v>
      </c>
      <c r="W18" s="195"/>
      <c r="X18" s="195">
        <f t="shared" si="1"/>
        <v>0</v>
      </c>
      <c r="Y18" s="166">
        <f t="shared" si="2"/>
        <v>0</v>
      </c>
      <c r="AA18" s="460" t="b">
        <f t="shared" ref="AA18:AC54" si="7">SUMPRODUCT(--ISNUMBER(SEARCH(AA$15,$B18:$G18)))&gt;0</f>
        <v>0</v>
      </c>
      <c r="AB18" s="257" t="b">
        <f t="shared" si="3"/>
        <v>0</v>
      </c>
      <c r="AC18" s="257" t="b">
        <f t="shared" si="3"/>
        <v>0</v>
      </c>
      <c r="AD18" s="257" t="b">
        <f t="shared" si="4"/>
        <v>0</v>
      </c>
      <c r="AE18" s="459">
        <f t="shared" ref="AE18:AE54" si="8">COUNTIF(AA18:AD18,"True")</f>
        <v>0</v>
      </c>
      <c r="AF18" s="460" t="b">
        <f t="shared" ref="AF18:AF54" si="9">SUMPRODUCT(--ISNUMBER(SEARCH(AF$15,$B18)))&gt;0</f>
        <v>0</v>
      </c>
      <c r="AG18" s="257" t="b">
        <f t="shared" ref="AG18:AG54" si="10">SUMPRODUCT(--ISNUMBER(SEARCH(AF$15,$E18:$K18)))&gt;0</f>
        <v>0</v>
      </c>
      <c r="AH18" s="459">
        <f t="shared" ref="AH18:AH54" si="11">COUNTIF(AF18:AG18,"True")</f>
        <v>0</v>
      </c>
      <c r="AI18" s="460" t="b">
        <f t="shared" ref="AI18:AI54" si="12">SUMPRODUCT(--ISNUMBER(SEARCH(AI$15,$B18)))&gt;0</f>
        <v>0</v>
      </c>
      <c r="AJ18" s="257" t="b">
        <f t="shared" ref="AJ18:AJ54" si="13">SUMPRODUCT(--ISNUMBER(SEARCH(AI$15,$E18:$K18)))&gt;0</f>
        <v>0</v>
      </c>
      <c r="AK18" s="459">
        <f t="shared" ref="AK18:AK54" si="14">COUNTIF(AI18:AJ18,"True")</f>
        <v>0</v>
      </c>
    </row>
    <row r="19" spans="1:37" x14ac:dyDescent="0.2">
      <c r="A19" s="494"/>
      <c r="B19" s="686"/>
      <c r="C19" s="687"/>
      <c r="D19" s="687"/>
      <c r="E19" s="686"/>
      <c r="F19" s="687"/>
      <c r="G19" s="687"/>
      <c r="H19" s="686"/>
      <c r="I19" s="687"/>
      <c r="J19" s="687"/>
      <c r="K19" s="687"/>
      <c r="L19" s="495"/>
      <c r="M19" s="164" t="str">
        <f t="shared" ca="1" si="5"/>
        <v/>
      </c>
      <c r="N19" s="161"/>
      <c r="O19" s="163" t="str">
        <f t="shared" ca="1" si="6"/>
        <v xml:space="preserve"> </v>
      </c>
      <c r="P19" s="168"/>
      <c r="Q19" s="629"/>
      <c r="R19" s="629"/>
      <c r="S19" s="629"/>
      <c r="T19" s="629"/>
      <c r="U19" s="188">
        <v>0</v>
      </c>
      <c r="V19" s="189">
        <f t="shared" ca="1" si="0"/>
        <v>0</v>
      </c>
      <c r="W19" s="195"/>
      <c r="X19" s="195">
        <f t="shared" si="1"/>
        <v>0</v>
      </c>
      <c r="Y19" s="166">
        <f t="shared" si="2"/>
        <v>0</v>
      </c>
      <c r="AA19" s="460" t="b">
        <f t="shared" si="7"/>
        <v>0</v>
      </c>
      <c r="AB19" s="257" t="b">
        <f t="shared" si="3"/>
        <v>0</v>
      </c>
      <c r="AC19" s="257" t="b">
        <f t="shared" si="3"/>
        <v>0</v>
      </c>
      <c r="AD19" s="257" t="b">
        <f t="shared" si="4"/>
        <v>0</v>
      </c>
      <c r="AE19" s="459">
        <f t="shared" si="8"/>
        <v>0</v>
      </c>
      <c r="AF19" s="460" t="b">
        <f t="shared" si="9"/>
        <v>0</v>
      </c>
      <c r="AG19" s="257" t="b">
        <f t="shared" si="10"/>
        <v>0</v>
      </c>
      <c r="AH19" s="459">
        <f t="shared" si="11"/>
        <v>0</v>
      </c>
      <c r="AI19" s="460" t="b">
        <f t="shared" si="12"/>
        <v>0</v>
      </c>
      <c r="AJ19" s="257" t="b">
        <f t="shared" si="13"/>
        <v>0</v>
      </c>
      <c r="AK19" s="459">
        <f t="shared" si="14"/>
        <v>0</v>
      </c>
    </row>
    <row r="20" spans="1:37" x14ac:dyDescent="0.2">
      <c r="A20" s="494"/>
      <c r="B20" s="686"/>
      <c r="C20" s="687"/>
      <c r="D20" s="687"/>
      <c r="E20" s="686"/>
      <c r="F20" s="687"/>
      <c r="G20" s="687"/>
      <c r="H20" s="686"/>
      <c r="I20" s="687"/>
      <c r="J20" s="687"/>
      <c r="K20" s="687"/>
      <c r="L20" s="495"/>
      <c r="M20" s="164" t="str">
        <f t="shared" ca="1" si="5"/>
        <v/>
      </c>
      <c r="N20" s="161"/>
      <c r="O20" s="163" t="str">
        <f t="shared" ca="1" si="6"/>
        <v xml:space="preserve"> </v>
      </c>
      <c r="P20" s="168"/>
      <c r="Q20" s="629"/>
      <c r="R20" s="629"/>
      <c r="S20" s="629"/>
      <c r="T20" s="629"/>
      <c r="U20" s="188">
        <v>0</v>
      </c>
      <c r="V20" s="189">
        <f t="shared" ca="1" si="0"/>
        <v>0</v>
      </c>
      <c r="W20" s="195"/>
      <c r="X20" s="195">
        <f t="shared" si="1"/>
        <v>0</v>
      </c>
      <c r="Y20" s="166">
        <f t="shared" si="2"/>
        <v>0</v>
      </c>
      <c r="AA20" s="460" t="b">
        <f t="shared" si="7"/>
        <v>0</v>
      </c>
      <c r="AB20" s="257" t="b">
        <f t="shared" si="3"/>
        <v>0</v>
      </c>
      <c r="AC20" s="257" t="b">
        <f t="shared" si="3"/>
        <v>0</v>
      </c>
      <c r="AD20" s="257" t="b">
        <f t="shared" si="4"/>
        <v>0</v>
      </c>
      <c r="AE20" s="459">
        <f t="shared" si="8"/>
        <v>0</v>
      </c>
      <c r="AF20" s="460" t="b">
        <f t="shared" si="9"/>
        <v>0</v>
      </c>
      <c r="AG20" s="257" t="b">
        <f t="shared" si="10"/>
        <v>0</v>
      </c>
      <c r="AH20" s="459">
        <f t="shared" si="11"/>
        <v>0</v>
      </c>
      <c r="AI20" s="460" t="b">
        <f t="shared" si="12"/>
        <v>0</v>
      </c>
      <c r="AJ20" s="257" t="b">
        <f t="shared" si="13"/>
        <v>0</v>
      </c>
      <c r="AK20" s="459">
        <f t="shared" si="14"/>
        <v>0</v>
      </c>
    </row>
    <row r="21" spans="1:37" x14ac:dyDescent="0.2">
      <c r="A21" s="494"/>
      <c r="B21" s="686"/>
      <c r="C21" s="687"/>
      <c r="D21" s="687"/>
      <c r="E21" s="686"/>
      <c r="F21" s="687"/>
      <c r="G21" s="687"/>
      <c r="H21" s="686"/>
      <c r="I21" s="687"/>
      <c r="J21" s="687"/>
      <c r="K21" s="687"/>
      <c r="L21" s="495"/>
      <c r="M21" s="164" t="str">
        <f t="shared" ca="1" si="5"/>
        <v/>
      </c>
      <c r="N21" s="161"/>
      <c r="O21" s="163" t="str">
        <f t="shared" ca="1" si="6"/>
        <v xml:space="preserve"> </v>
      </c>
      <c r="P21" s="168"/>
      <c r="Q21" s="629"/>
      <c r="R21" s="629"/>
      <c r="S21" s="629"/>
      <c r="T21" s="629"/>
      <c r="U21" s="188">
        <v>0</v>
      </c>
      <c r="V21" s="189">
        <f t="shared" ca="1" si="0"/>
        <v>0</v>
      </c>
      <c r="W21" s="195"/>
      <c r="X21" s="195">
        <f t="shared" si="1"/>
        <v>0</v>
      </c>
      <c r="Y21" s="166">
        <f t="shared" si="2"/>
        <v>0</v>
      </c>
      <c r="AA21" s="460" t="b">
        <f t="shared" si="7"/>
        <v>0</v>
      </c>
      <c r="AB21" s="257" t="b">
        <f t="shared" si="3"/>
        <v>0</v>
      </c>
      <c r="AC21" s="257" t="b">
        <f t="shared" si="3"/>
        <v>0</v>
      </c>
      <c r="AD21" s="257" t="b">
        <f t="shared" si="4"/>
        <v>0</v>
      </c>
      <c r="AE21" s="459">
        <f t="shared" si="8"/>
        <v>0</v>
      </c>
      <c r="AF21" s="460" t="b">
        <f t="shared" si="9"/>
        <v>0</v>
      </c>
      <c r="AG21" s="257" t="b">
        <f t="shared" si="10"/>
        <v>0</v>
      </c>
      <c r="AH21" s="459">
        <f t="shared" si="11"/>
        <v>0</v>
      </c>
      <c r="AI21" s="460" t="b">
        <f t="shared" si="12"/>
        <v>0</v>
      </c>
      <c r="AJ21" s="257" t="b">
        <f t="shared" si="13"/>
        <v>0</v>
      </c>
      <c r="AK21" s="459">
        <f t="shared" si="14"/>
        <v>0</v>
      </c>
    </row>
    <row r="22" spans="1:37" x14ac:dyDescent="0.2">
      <c r="A22" s="494"/>
      <c r="B22" s="686"/>
      <c r="C22" s="687"/>
      <c r="D22" s="687"/>
      <c r="E22" s="686"/>
      <c r="F22" s="687"/>
      <c r="G22" s="687"/>
      <c r="H22" s="686"/>
      <c r="I22" s="687"/>
      <c r="J22" s="687"/>
      <c r="K22" s="687"/>
      <c r="L22" s="495"/>
      <c r="M22" s="164" t="str">
        <f t="shared" ca="1" si="5"/>
        <v/>
      </c>
      <c r="N22" s="161"/>
      <c r="O22" s="163" t="str">
        <f t="shared" ca="1" si="6"/>
        <v xml:space="preserve"> </v>
      </c>
      <c r="P22" s="168"/>
      <c r="Q22" s="629"/>
      <c r="R22" s="629"/>
      <c r="S22" s="629"/>
      <c r="T22" s="629"/>
      <c r="U22" s="188">
        <v>0</v>
      </c>
      <c r="V22" s="189">
        <f t="shared" ca="1" si="0"/>
        <v>0</v>
      </c>
      <c r="W22" s="195"/>
      <c r="X22" s="195">
        <f t="shared" si="1"/>
        <v>0</v>
      </c>
      <c r="Y22" s="166">
        <f t="shared" si="2"/>
        <v>0</v>
      </c>
      <c r="AA22" s="460" t="b">
        <f t="shared" si="7"/>
        <v>0</v>
      </c>
      <c r="AB22" s="257" t="b">
        <f t="shared" si="3"/>
        <v>0</v>
      </c>
      <c r="AC22" s="257" t="b">
        <f t="shared" si="3"/>
        <v>0</v>
      </c>
      <c r="AD22" s="257" t="b">
        <f t="shared" si="4"/>
        <v>0</v>
      </c>
      <c r="AE22" s="459">
        <f t="shared" si="8"/>
        <v>0</v>
      </c>
      <c r="AF22" s="460" t="b">
        <f t="shared" si="9"/>
        <v>0</v>
      </c>
      <c r="AG22" s="257" t="b">
        <f t="shared" si="10"/>
        <v>0</v>
      </c>
      <c r="AH22" s="459">
        <f t="shared" si="11"/>
        <v>0</v>
      </c>
      <c r="AI22" s="460" t="b">
        <f t="shared" si="12"/>
        <v>0</v>
      </c>
      <c r="AJ22" s="257" t="b">
        <f t="shared" si="13"/>
        <v>0</v>
      </c>
      <c r="AK22" s="459">
        <f t="shared" si="14"/>
        <v>0</v>
      </c>
    </row>
    <row r="23" spans="1:37" x14ac:dyDescent="0.2">
      <c r="A23" s="494"/>
      <c r="B23" s="686"/>
      <c r="C23" s="687"/>
      <c r="D23" s="687"/>
      <c r="E23" s="686"/>
      <c r="F23" s="687"/>
      <c r="G23" s="687"/>
      <c r="H23" s="686"/>
      <c r="I23" s="687"/>
      <c r="J23" s="687"/>
      <c r="K23" s="687"/>
      <c r="L23" s="495"/>
      <c r="M23" s="164" t="str">
        <f t="shared" ca="1" si="5"/>
        <v/>
      </c>
      <c r="N23" s="161"/>
      <c r="O23" s="163" t="str">
        <f t="shared" ca="1" si="6"/>
        <v xml:space="preserve"> </v>
      </c>
      <c r="P23" s="168"/>
      <c r="Q23" s="629"/>
      <c r="R23" s="629"/>
      <c r="S23" s="629"/>
      <c r="T23" s="629"/>
      <c r="U23" s="188">
        <v>0</v>
      </c>
      <c r="V23" s="189">
        <f t="shared" ca="1" si="0"/>
        <v>0</v>
      </c>
      <c r="W23" s="195"/>
      <c r="X23" s="195">
        <f t="shared" si="1"/>
        <v>0</v>
      </c>
      <c r="Y23" s="166">
        <f t="shared" si="2"/>
        <v>0</v>
      </c>
      <c r="AA23" s="460" t="b">
        <f t="shared" si="7"/>
        <v>0</v>
      </c>
      <c r="AB23" s="257" t="b">
        <f t="shared" si="3"/>
        <v>0</v>
      </c>
      <c r="AC23" s="257" t="b">
        <f t="shared" si="3"/>
        <v>0</v>
      </c>
      <c r="AD23" s="257" t="b">
        <f t="shared" si="4"/>
        <v>0</v>
      </c>
      <c r="AE23" s="459">
        <f t="shared" si="8"/>
        <v>0</v>
      </c>
      <c r="AF23" s="460" t="b">
        <f t="shared" si="9"/>
        <v>0</v>
      </c>
      <c r="AG23" s="257" t="b">
        <f t="shared" si="10"/>
        <v>0</v>
      </c>
      <c r="AH23" s="459">
        <f t="shared" si="11"/>
        <v>0</v>
      </c>
      <c r="AI23" s="460" t="b">
        <f t="shared" si="12"/>
        <v>0</v>
      </c>
      <c r="AJ23" s="257" t="b">
        <f t="shared" si="13"/>
        <v>0</v>
      </c>
      <c r="AK23" s="459">
        <f t="shared" si="14"/>
        <v>0</v>
      </c>
    </row>
    <row r="24" spans="1:37" x14ac:dyDescent="0.2">
      <c r="A24" s="494"/>
      <c r="B24" s="686"/>
      <c r="C24" s="687"/>
      <c r="D24" s="687"/>
      <c r="E24" s="686"/>
      <c r="F24" s="687"/>
      <c r="G24" s="687"/>
      <c r="H24" s="686"/>
      <c r="I24" s="687"/>
      <c r="J24" s="687"/>
      <c r="K24" s="687"/>
      <c r="L24" s="495"/>
      <c r="M24" s="164" t="str">
        <f t="shared" ca="1" si="5"/>
        <v/>
      </c>
      <c r="N24" s="161"/>
      <c r="O24" s="163" t="str">
        <f t="shared" ca="1" si="6"/>
        <v xml:space="preserve"> </v>
      </c>
      <c r="P24" s="168"/>
      <c r="Q24" s="629"/>
      <c r="R24" s="629"/>
      <c r="S24" s="629"/>
      <c r="T24" s="629"/>
      <c r="U24" s="188">
        <v>0</v>
      </c>
      <c r="V24" s="189">
        <f t="shared" ca="1" si="0"/>
        <v>0</v>
      </c>
      <c r="W24" s="195"/>
      <c r="X24" s="195">
        <f t="shared" si="1"/>
        <v>0</v>
      </c>
      <c r="Y24" s="166">
        <f t="shared" si="2"/>
        <v>0</v>
      </c>
      <c r="AA24" s="460" t="b">
        <f t="shared" si="7"/>
        <v>0</v>
      </c>
      <c r="AB24" s="257" t="b">
        <f t="shared" si="3"/>
        <v>0</v>
      </c>
      <c r="AC24" s="257" t="b">
        <f t="shared" si="3"/>
        <v>0</v>
      </c>
      <c r="AD24" s="257" t="b">
        <f t="shared" si="4"/>
        <v>0</v>
      </c>
      <c r="AE24" s="459">
        <f t="shared" si="8"/>
        <v>0</v>
      </c>
      <c r="AF24" s="460" t="b">
        <f t="shared" si="9"/>
        <v>0</v>
      </c>
      <c r="AG24" s="257" t="b">
        <f t="shared" si="10"/>
        <v>0</v>
      </c>
      <c r="AH24" s="459">
        <f t="shared" si="11"/>
        <v>0</v>
      </c>
      <c r="AI24" s="460" t="b">
        <f t="shared" si="12"/>
        <v>0</v>
      </c>
      <c r="AJ24" s="257" t="b">
        <f t="shared" si="13"/>
        <v>0</v>
      </c>
      <c r="AK24" s="459">
        <f t="shared" si="14"/>
        <v>0</v>
      </c>
    </row>
    <row r="25" spans="1:37" x14ac:dyDescent="0.2">
      <c r="A25" s="494"/>
      <c r="B25" s="686"/>
      <c r="C25" s="687"/>
      <c r="D25" s="687"/>
      <c r="E25" s="686"/>
      <c r="F25" s="687"/>
      <c r="G25" s="687"/>
      <c r="H25" s="686"/>
      <c r="I25" s="687"/>
      <c r="J25" s="687"/>
      <c r="K25" s="687"/>
      <c r="L25" s="495"/>
      <c r="M25" s="164" t="str">
        <f t="shared" ca="1" si="5"/>
        <v/>
      </c>
      <c r="N25" s="161"/>
      <c r="O25" s="163" t="str">
        <f t="shared" ca="1" si="6"/>
        <v xml:space="preserve"> </v>
      </c>
      <c r="P25" s="168"/>
      <c r="Q25" s="629"/>
      <c r="R25" s="629"/>
      <c r="S25" s="629"/>
      <c r="T25" s="629"/>
      <c r="U25" s="188">
        <v>0</v>
      </c>
      <c r="V25" s="189">
        <f t="shared" ca="1" si="0"/>
        <v>0</v>
      </c>
      <c r="W25" s="195"/>
      <c r="X25" s="195">
        <f t="shared" si="1"/>
        <v>0</v>
      </c>
      <c r="Y25" s="166">
        <f t="shared" si="2"/>
        <v>0</v>
      </c>
      <c r="AA25" s="460" t="b">
        <f t="shared" si="7"/>
        <v>0</v>
      </c>
      <c r="AB25" s="257" t="b">
        <f t="shared" si="3"/>
        <v>0</v>
      </c>
      <c r="AC25" s="257" t="b">
        <f t="shared" si="3"/>
        <v>0</v>
      </c>
      <c r="AD25" s="257" t="b">
        <f t="shared" si="4"/>
        <v>0</v>
      </c>
      <c r="AE25" s="459">
        <f t="shared" si="8"/>
        <v>0</v>
      </c>
      <c r="AF25" s="460" t="b">
        <f t="shared" si="9"/>
        <v>0</v>
      </c>
      <c r="AG25" s="257" t="b">
        <f t="shared" si="10"/>
        <v>0</v>
      </c>
      <c r="AH25" s="459">
        <f t="shared" si="11"/>
        <v>0</v>
      </c>
      <c r="AI25" s="460" t="b">
        <f t="shared" si="12"/>
        <v>0</v>
      </c>
      <c r="AJ25" s="257" t="b">
        <f t="shared" si="13"/>
        <v>0</v>
      </c>
      <c r="AK25" s="459">
        <f t="shared" si="14"/>
        <v>0</v>
      </c>
    </row>
    <row r="26" spans="1:37" x14ac:dyDescent="0.2">
      <c r="A26" s="494"/>
      <c r="B26" s="686"/>
      <c r="C26" s="687"/>
      <c r="D26" s="687"/>
      <c r="E26" s="686"/>
      <c r="F26" s="687"/>
      <c r="G26" s="687"/>
      <c r="H26" s="686"/>
      <c r="I26" s="687"/>
      <c r="J26" s="687"/>
      <c r="K26" s="687"/>
      <c r="L26" s="495"/>
      <c r="M26" s="164" t="str">
        <f t="shared" ca="1" si="5"/>
        <v/>
      </c>
      <c r="N26" s="161"/>
      <c r="O26" s="163" t="str">
        <f t="shared" ca="1" si="6"/>
        <v xml:space="preserve"> </v>
      </c>
      <c r="P26" s="168"/>
      <c r="Q26" s="629"/>
      <c r="R26" s="629"/>
      <c r="S26" s="629"/>
      <c r="T26" s="629"/>
      <c r="U26" s="188">
        <v>0</v>
      </c>
      <c r="V26" s="189">
        <f t="shared" ca="1" si="0"/>
        <v>0</v>
      </c>
      <c r="W26" s="195"/>
      <c r="X26" s="195">
        <f t="shared" si="1"/>
        <v>0</v>
      </c>
      <c r="Y26" s="166">
        <f t="shared" si="2"/>
        <v>0</v>
      </c>
      <c r="AA26" s="460" t="b">
        <f t="shared" si="7"/>
        <v>0</v>
      </c>
      <c r="AB26" s="257" t="b">
        <f t="shared" si="3"/>
        <v>0</v>
      </c>
      <c r="AC26" s="257" t="b">
        <f t="shared" si="3"/>
        <v>0</v>
      </c>
      <c r="AD26" s="257" t="b">
        <f t="shared" si="4"/>
        <v>0</v>
      </c>
      <c r="AE26" s="459">
        <f t="shared" si="8"/>
        <v>0</v>
      </c>
      <c r="AF26" s="460" t="b">
        <f t="shared" si="9"/>
        <v>0</v>
      </c>
      <c r="AG26" s="257" t="b">
        <f t="shared" si="10"/>
        <v>0</v>
      </c>
      <c r="AH26" s="459">
        <f t="shared" si="11"/>
        <v>0</v>
      </c>
      <c r="AI26" s="460" t="b">
        <f t="shared" si="12"/>
        <v>0</v>
      </c>
      <c r="AJ26" s="257" t="b">
        <f t="shared" si="13"/>
        <v>0</v>
      </c>
      <c r="AK26" s="459">
        <f t="shared" si="14"/>
        <v>0</v>
      </c>
    </row>
    <row r="27" spans="1:37" x14ac:dyDescent="0.2">
      <c r="A27" s="494"/>
      <c r="B27" s="686"/>
      <c r="C27" s="687"/>
      <c r="D27" s="687"/>
      <c r="E27" s="686"/>
      <c r="F27" s="687"/>
      <c r="G27" s="687"/>
      <c r="H27" s="686"/>
      <c r="I27" s="687"/>
      <c r="J27" s="687"/>
      <c r="K27" s="687"/>
      <c r="L27" s="495"/>
      <c r="M27" s="164" t="str">
        <f t="shared" ca="1" si="5"/>
        <v/>
      </c>
      <c r="N27" s="161"/>
      <c r="O27" s="163" t="str">
        <f t="shared" ca="1" si="6"/>
        <v xml:space="preserve"> </v>
      </c>
      <c r="P27" s="168"/>
      <c r="Q27" s="629"/>
      <c r="R27" s="629"/>
      <c r="S27" s="629"/>
      <c r="T27" s="629"/>
      <c r="U27" s="188">
        <v>0</v>
      </c>
      <c r="V27" s="189">
        <f t="shared" ca="1" si="0"/>
        <v>0</v>
      </c>
      <c r="W27" s="195"/>
      <c r="X27" s="195">
        <f t="shared" si="1"/>
        <v>0</v>
      </c>
      <c r="Y27" s="166">
        <f t="shared" si="2"/>
        <v>0</v>
      </c>
      <c r="AA27" s="460" t="b">
        <f t="shared" si="7"/>
        <v>0</v>
      </c>
      <c r="AB27" s="257" t="b">
        <f t="shared" si="3"/>
        <v>0</v>
      </c>
      <c r="AC27" s="257" t="b">
        <f t="shared" si="3"/>
        <v>0</v>
      </c>
      <c r="AD27" s="257" t="b">
        <f t="shared" si="4"/>
        <v>0</v>
      </c>
      <c r="AE27" s="459">
        <f t="shared" si="8"/>
        <v>0</v>
      </c>
      <c r="AF27" s="460" t="b">
        <f t="shared" si="9"/>
        <v>0</v>
      </c>
      <c r="AG27" s="257" t="b">
        <f t="shared" si="10"/>
        <v>0</v>
      </c>
      <c r="AH27" s="459">
        <f t="shared" si="11"/>
        <v>0</v>
      </c>
      <c r="AI27" s="460" t="b">
        <f t="shared" si="12"/>
        <v>0</v>
      </c>
      <c r="AJ27" s="257" t="b">
        <f t="shared" si="13"/>
        <v>0</v>
      </c>
      <c r="AK27" s="459">
        <f t="shared" si="14"/>
        <v>0</v>
      </c>
    </row>
    <row r="28" spans="1:37" x14ac:dyDescent="0.2">
      <c r="A28" s="494"/>
      <c r="B28" s="686"/>
      <c r="C28" s="687"/>
      <c r="D28" s="687"/>
      <c r="E28" s="686"/>
      <c r="F28" s="687"/>
      <c r="G28" s="687"/>
      <c r="H28" s="686"/>
      <c r="I28" s="687"/>
      <c r="J28" s="687"/>
      <c r="K28" s="687"/>
      <c r="L28" s="495"/>
      <c r="M28" s="164" t="str">
        <f t="shared" ca="1" si="5"/>
        <v/>
      </c>
      <c r="N28" s="161"/>
      <c r="O28" s="163" t="str">
        <f t="shared" ref="O28:O32" ca="1" si="15">IF(AND(L28&gt;=75,M28&lt;&gt;"disallow"),1," ")</f>
        <v xml:space="preserve"> </v>
      </c>
      <c r="P28" s="168"/>
      <c r="Q28" s="629"/>
      <c r="R28" s="629"/>
      <c r="S28" s="629"/>
      <c r="T28" s="629"/>
      <c r="U28" s="188">
        <v>0</v>
      </c>
      <c r="V28" s="189">
        <f t="shared" ref="V28:V32" ca="1" si="16">IF(AND(M28="disallow",W28=0),L28,0)</f>
        <v>0</v>
      </c>
      <c r="W28" s="195"/>
      <c r="X28" s="195">
        <f t="shared" ref="X28:X32" si="17">IF(AND(U28&lt;&gt;0,W28&gt;0),-U28,0)</f>
        <v>0</v>
      </c>
      <c r="Y28" s="166">
        <f t="shared" ref="Y28:Y32" si="18">IF(AND(A28&lt;Fiscal_Start_Date,submit_date-A28&lt;90),L28,0)</f>
        <v>0</v>
      </c>
      <c r="AA28" s="460" t="b">
        <f t="shared" si="7"/>
        <v>0</v>
      </c>
      <c r="AB28" s="257" t="b">
        <f t="shared" si="3"/>
        <v>0</v>
      </c>
      <c r="AC28" s="257" t="b">
        <f t="shared" si="3"/>
        <v>0</v>
      </c>
      <c r="AD28" s="257" t="b">
        <f t="shared" si="4"/>
        <v>0</v>
      </c>
      <c r="AE28" s="459">
        <f t="shared" si="8"/>
        <v>0</v>
      </c>
      <c r="AF28" s="460" t="b">
        <f t="shared" si="9"/>
        <v>0</v>
      </c>
      <c r="AG28" s="257" t="b">
        <f t="shared" si="10"/>
        <v>0</v>
      </c>
      <c r="AH28" s="459">
        <f t="shared" si="11"/>
        <v>0</v>
      </c>
      <c r="AI28" s="460" t="b">
        <f t="shared" si="12"/>
        <v>0</v>
      </c>
      <c r="AJ28" s="257" t="b">
        <f t="shared" si="13"/>
        <v>0</v>
      </c>
      <c r="AK28" s="459">
        <f t="shared" si="14"/>
        <v>0</v>
      </c>
    </row>
    <row r="29" spans="1:37" x14ac:dyDescent="0.2">
      <c r="A29" s="494"/>
      <c r="B29" s="686"/>
      <c r="C29" s="687"/>
      <c r="D29" s="687"/>
      <c r="E29" s="686"/>
      <c r="F29" s="687"/>
      <c r="G29" s="687"/>
      <c r="H29" s="686"/>
      <c r="I29" s="687"/>
      <c r="J29" s="687"/>
      <c r="K29" s="687"/>
      <c r="L29" s="495"/>
      <c r="M29" s="164" t="str">
        <f t="shared" ca="1" si="5"/>
        <v/>
      </c>
      <c r="N29" s="161"/>
      <c r="O29" s="163" t="str">
        <f t="shared" ca="1" si="15"/>
        <v xml:space="preserve"> </v>
      </c>
      <c r="P29" s="168"/>
      <c r="Q29" s="629"/>
      <c r="R29" s="629"/>
      <c r="S29" s="629"/>
      <c r="T29" s="629"/>
      <c r="U29" s="188">
        <v>0</v>
      </c>
      <c r="V29" s="189">
        <f t="shared" ca="1" si="16"/>
        <v>0</v>
      </c>
      <c r="W29" s="195"/>
      <c r="X29" s="195">
        <f t="shared" si="17"/>
        <v>0</v>
      </c>
      <c r="Y29" s="166">
        <f t="shared" si="18"/>
        <v>0</v>
      </c>
      <c r="AA29" s="460" t="b">
        <f t="shared" si="7"/>
        <v>0</v>
      </c>
      <c r="AB29" s="257" t="b">
        <f t="shared" si="3"/>
        <v>0</v>
      </c>
      <c r="AC29" s="257" t="b">
        <f t="shared" si="3"/>
        <v>0</v>
      </c>
      <c r="AD29" s="257" t="b">
        <f t="shared" si="4"/>
        <v>0</v>
      </c>
      <c r="AE29" s="459">
        <f t="shared" si="8"/>
        <v>0</v>
      </c>
      <c r="AF29" s="460" t="b">
        <f t="shared" si="9"/>
        <v>0</v>
      </c>
      <c r="AG29" s="257" t="b">
        <f t="shared" si="10"/>
        <v>0</v>
      </c>
      <c r="AH29" s="459">
        <f t="shared" si="11"/>
        <v>0</v>
      </c>
      <c r="AI29" s="460" t="b">
        <f t="shared" si="12"/>
        <v>0</v>
      </c>
      <c r="AJ29" s="257" t="b">
        <f t="shared" si="13"/>
        <v>0</v>
      </c>
      <c r="AK29" s="459">
        <f t="shared" si="14"/>
        <v>0</v>
      </c>
    </row>
    <row r="30" spans="1:37" x14ac:dyDescent="0.2">
      <c r="A30" s="494"/>
      <c r="B30" s="686"/>
      <c r="C30" s="687"/>
      <c r="D30" s="687"/>
      <c r="E30" s="686"/>
      <c r="F30" s="687"/>
      <c r="G30" s="687"/>
      <c r="H30" s="686"/>
      <c r="I30" s="687"/>
      <c r="J30" s="687"/>
      <c r="K30" s="687"/>
      <c r="L30" s="495"/>
      <c r="M30" s="164" t="str">
        <f t="shared" ca="1" si="5"/>
        <v/>
      </c>
      <c r="N30" s="161"/>
      <c r="O30" s="163" t="str">
        <f t="shared" ca="1" si="15"/>
        <v xml:space="preserve"> </v>
      </c>
      <c r="P30" s="168"/>
      <c r="Q30" s="629"/>
      <c r="R30" s="629"/>
      <c r="S30" s="629"/>
      <c r="T30" s="629"/>
      <c r="U30" s="188">
        <v>0</v>
      </c>
      <c r="V30" s="189">
        <f t="shared" ca="1" si="16"/>
        <v>0</v>
      </c>
      <c r="W30" s="195"/>
      <c r="X30" s="195">
        <f t="shared" si="17"/>
        <v>0</v>
      </c>
      <c r="Y30" s="166">
        <f t="shared" si="18"/>
        <v>0</v>
      </c>
      <c r="AA30" s="460" t="b">
        <f t="shared" si="7"/>
        <v>0</v>
      </c>
      <c r="AB30" s="257" t="b">
        <f t="shared" si="3"/>
        <v>0</v>
      </c>
      <c r="AC30" s="257" t="b">
        <f t="shared" si="3"/>
        <v>0</v>
      </c>
      <c r="AD30" s="257" t="b">
        <f t="shared" si="4"/>
        <v>0</v>
      </c>
      <c r="AE30" s="459">
        <f t="shared" si="8"/>
        <v>0</v>
      </c>
      <c r="AF30" s="460" t="b">
        <f t="shared" si="9"/>
        <v>0</v>
      </c>
      <c r="AG30" s="257" t="b">
        <f t="shared" si="10"/>
        <v>0</v>
      </c>
      <c r="AH30" s="459">
        <f t="shared" si="11"/>
        <v>0</v>
      </c>
      <c r="AI30" s="460" t="b">
        <f t="shared" si="12"/>
        <v>0</v>
      </c>
      <c r="AJ30" s="257" t="b">
        <f t="shared" si="13"/>
        <v>0</v>
      </c>
      <c r="AK30" s="459">
        <f t="shared" si="14"/>
        <v>0</v>
      </c>
    </row>
    <row r="31" spans="1:37" x14ac:dyDescent="0.2">
      <c r="A31" s="494"/>
      <c r="B31" s="686"/>
      <c r="C31" s="687"/>
      <c r="D31" s="687"/>
      <c r="E31" s="686"/>
      <c r="F31" s="687"/>
      <c r="G31" s="687"/>
      <c r="H31" s="686"/>
      <c r="I31" s="687"/>
      <c r="J31" s="687"/>
      <c r="K31" s="687"/>
      <c r="L31" s="495"/>
      <c r="M31" s="164" t="str">
        <f t="shared" ca="1" si="5"/>
        <v/>
      </c>
      <c r="N31" s="161"/>
      <c r="O31" s="163" t="str">
        <f t="shared" ca="1" si="15"/>
        <v xml:space="preserve"> </v>
      </c>
      <c r="P31" s="168"/>
      <c r="Q31" s="629"/>
      <c r="R31" s="629"/>
      <c r="S31" s="629"/>
      <c r="T31" s="629"/>
      <c r="U31" s="188">
        <v>0</v>
      </c>
      <c r="V31" s="189">
        <f t="shared" ca="1" si="16"/>
        <v>0</v>
      </c>
      <c r="W31" s="195"/>
      <c r="X31" s="195">
        <f t="shared" si="17"/>
        <v>0</v>
      </c>
      <c r="Y31" s="166">
        <f t="shared" si="18"/>
        <v>0</v>
      </c>
      <c r="AA31" s="460" t="b">
        <f t="shared" si="7"/>
        <v>0</v>
      </c>
      <c r="AB31" s="257" t="b">
        <f t="shared" si="3"/>
        <v>0</v>
      </c>
      <c r="AC31" s="257" t="b">
        <f t="shared" si="3"/>
        <v>0</v>
      </c>
      <c r="AD31" s="257" t="b">
        <f t="shared" si="4"/>
        <v>0</v>
      </c>
      <c r="AE31" s="459">
        <f t="shared" si="8"/>
        <v>0</v>
      </c>
      <c r="AF31" s="460" t="b">
        <f t="shared" si="9"/>
        <v>0</v>
      </c>
      <c r="AG31" s="257" t="b">
        <f t="shared" si="10"/>
        <v>0</v>
      </c>
      <c r="AH31" s="459">
        <f t="shared" si="11"/>
        <v>0</v>
      </c>
      <c r="AI31" s="460" t="b">
        <f t="shared" si="12"/>
        <v>0</v>
      </c>
      <c r="AJ31" s="257" t="b">
        <f t="shared" si="13"/>
        <v>0</v>
      </c>
      <c r="AK31" s="459">
        <f t="shared" si="14"/>
        <v>0</v>
      </c>
    </row>
    <row r="32" spans="1:37" x14ac:dyDescent="0.2">
      <c r="A32" s="494"/>
      <c r="B32" s="686"/>
      <c r="C32" s="687"/>
      <c r="D32" s="687"/>
      <c r="E32" s="686"/>
      <c r="F32" s="687"/>
      <c r="G32" s="687"/>
      <c r="H32" s="686"/>
      <c r="I32" s="687"/>
      <c r="J32" s="687"/>
      <c r="K32" s="687"/>
      <c r="L32" s="495"/>
      <c r="M32" s="164" t="str">
        <f t="shared" ca="1" si="5"/>
        <v/>
      </c>
      <c r="N32" s="161"/>
      <c r="O32" s="163" t="str">
        <f t="shared" ca="1" si="15"/>
        <v xml:space="preserve"> </v>
      </c>
      <c r="P32" s="168"/>
      <c r="Q32" s="629"/>
      <c r="R32" s="629"/>
      <c r="S32" s="629"/>
      <c r="T32" s="629"/>
      <c r="U32" s="188">
        <v>0</v>
      </c>
      <c r="V32" s="189">
        <f t="shared" ca="1" si="16"/>
        <v>0</v>
      </c>
      <c r="W32" s="195"/>
      <c r="X32" s="195">
        <f t="shared" si="17"/>
        <v>0</v>
      </c>
      <c r="Y32" s="166">
        <f t="shared" si="18"/>
        <v>0</v>
      </c>
      <c r="AA32" s="460" t="b">
        <f t="shared" si="7"/>
        <v>0</v>
      </c>
      <c r="AB32" s="257" t="b">
        <f t="shared" si="3"/>
        <v>0</v>
      </c>
      <c r="AC32" s="257" t="b">
        <f t="shared" si="3"/>
        <v>0</v>
      </c>
      <c r="AD32" s="257" t="b">
        <f t="shared" si="4"/>
        <v>0</v>
      </c>
      <c r="AE32" s="459">
        <f t="shared" si="8"/>
        <v>0</v>
      </c>
      <c r="AF32" s="460" t="b">
        <f t="shared" si="9"/>
        <v>0</v>
      </c>
      <c r="AG32" s="257" t="b">
        <f t="shared" si="10"/>
        <v>0</v>
      </c>
      <c r="AH32" s="459">
        <f t="shared" si="11"/>
        <v>0</v>
      </c>
      <c r="AI32" s="460" t="b">
        <f t="shared" si="12"/>
        <v>0</v>
      </c>
      <c r="AJ32" s="257" t="b">
        <f t="shared" si="13"/>
        <v>0</v>
      </c>
      <c r="AK32" s="459">
        <f t="shared" si="14"/>
        <v>0</v>
      </c>
    </row>
    <row r="33" spans="1:37" x14ac:dyDescent="0.2">
      <c r="A33" s="494"/>
      <c r="B33" s="686"/>
      <c r="C33" s="687"/>
      <c r="D33" s="687"/>
      <c r="E33" s="686"/>
      <c r="F33" s="687"/>
      <c r="G33" s="687"/>
      <c r="H33" s="686"/>
      <c r="I33" s="687"/>
      <c r="J33" s="687"/>
      <c r="K33" s="687"/>
      <c r="L33" s="495"/>
      <c r="M33" s="164" t="str">
        <f t="shared" ca="1" si="5"/>
        <v/>
      </c>
      <c r="N33" s="161"/>
      <c r="O33" s="163" t="str">
        <f t="shared" ca="1" si="6"/>
        <v xml:space="preserve"> </v>
      </c>
      <c r="P33" s="168"/>
      <c r="Q33" s="629"/>
      <c r="R33" s="629"/>
      <c r="S33" s="629"/>
      <c r="T33" s="629"/>
      <c r="U33" s="188">
        <v>0</v>
      </c>
      <c r="V33" s="189">
        <f t="shared" ca="1" si="0"/>
        <v>0</v>
      </c>
      <c r="W33" s="195"/>
      <c r="X33" s="195">
        <f t="shared" si="1"/>
        <v>0</v>
      </c>
      <c r="Y33" s="166">
        <f t="shared" si="2"/>
        <v>0</v>
      </c>
      <c r="AA33" s="460" t="b">
        <f t="shared" si="7"/>
        <v>0</v>
      </c>
      <c r="AB33" s="257" t="b">
        <f t="shared" si="7"/>
        <v>0</v>
      </c>
      <c r="AC33" s="257" t="b">
        <f t="shared" si="7"/>
        <v>0</v>
      </c>
      <c r="AD33" s="257" t="b">
        <f t="shared" si="4"/>
        <v>0</v>
      </c>
      <c r="AE33" s="459">
        <f t="shared" si="8"/>
        <v>0</v>
      </c>
      <c r="AF33" s="460" t="b">
        <f t="shared" si="9"/>
        <v>0</v>
      </c>
      <c r="AG33" s="257" t="b">
        <f t="shared" si="10"/>
        <v>0</v>
      </c>
      <c r="AH33" s="459">
        <f t="shared" si="11"/>
        <v>0</v>
      </c>
      <c r="AI33" s="460" t="b">
        <f t="shared" si="12"/>
        <v>0</v>
      </c>
      <c r="AJ33" s="257" t="b">
        <f t="shared" si="13"/>
        <v>0</v>
      </c>
      <c r="AK33" s="459">
        <f t="shared" si="14"/>
        <v>0</v>
      </c>
    </row>
    <row r="34" spans="1:37" x14ac:dyDescent="0.2">
      <c r="A34" s="494"/>
      <c r="B34" s="686"/>
      <c r="C34" s="687"/>
      <c r="D34" s="687"/>
      <c r="E34" s="686"/>
      <c r="F34" s="687"/>
      <c r="G34" s="687"/>
      <c r="H34" s="686"/>
      <c r="I34" s="687"/>
      <c r="J34" s="687"/>
      <c r="K34" s="687"/>
      <c r="L34" s="495"/>
      <c r="M34" s="164" t="str">
        <f t="shared" ca="1" si="5"/>
        <v/>
      </c>
      <c r="N34" s="161"/>
      <c r="O34" s="163" t="str">
        <f t="shared" ca="1" si="6"/>
        <v xml:space="preserve"> </v>
      </c>
      <c r="P34" s="168"/>
      <c r="Q34" s="629"/>
      <c r="R34" s="629"/>
      <c r="S34" s="629"/>
      <c r="T34" s="629"/>
      <c r="U34" s="188">
        <v>0</v>
      </c>
      <c r="V34" s="189">
        <f t="shared" ca="1" si="0"/>
        <v>0</v>
      </c>
      <c r="W34" s="195"/>
      <c r="X34" s="195">
        <f t="shared" si="1"/>
        <v>0</v>
      </c>
      <c r="Y34" s="166">
        <f t="shared" si="2"/>
        <v>0</v>
      </c>
      <c r="AA34" s="460" t="b">
        <f t="shared" si="7"/>
        <v>0</v>
      </c>
      <c r="AB34" s="257" t="b">
        <f t="shared" si="7"/>
        <v>0</v>
      </c>
      <c r="AC34" s="257" t="b">
        <f t="shared" si="7"/>
        <v>0</v>
      </c>
      <c r="AD34" s="257" t="b">
        <f t="shared" si="4"/>
        <v>0</v>
      </c>
      <c r="AE34" s="459">
        <f t="shared" si="8"/>
        <v>0</v>
      </c>
      <c r="AF34" s="460" t="b">
        <f t="shared" si="9"/>
        <v>0</v>
      </c>
      <c r="AG34" s="257" t="b">
        <f t="shared" si="10"/>
        <v>0</v>
      </c>
      <c r="AH34" s="459">
        <f t="shared" si="11"/>
        <v>0</v>
      </c>
      <c r="AI34" s="460" t="b">
        <f t="shared" si="12"/>
        <v>0</v>
      </c>
      <c r="AJ34" s="257" t="b">
        <f t="shared" si="13"/>
        <v>0</v>
      </c>
      <c r="AK34" s="459">
        <f t="shared" si="14"/>
        <v>0</v>
      </c>
    </row>
    <row r="35" spans="1:37" x14ac:dyDescent="0.2">
      <c r="A35" s="494"/>
      <c r="B35" s="686"/>
      <c r="C35" s="687"/>
      <c r="D35" s="687"/>
      <c r="E35" s="686"/>
      <c r="F35" s="687"/>
      <c r="G35" s="687"/>
      <c r="H35" s="686"/>
      <c r="I35" s="687"/>
      <c r="J35" s="687"/>
      <c r="K35" s="687"/>
      <c r="L35" s="495"/>
      <c r="M35" s="164" t="str">
        <f t="shared" ca="1" si="5"/>
        <v/>
      </c>
      <c r="N35" s="161"/>
      <c r="O35" s="163" t="str">
        <f t="shared" ca="1" si="6"/>
        <v xml:space="preserve"> </v>
      </c>
      <c r="P35" s="168"/>
      <c r="Q35" s="629"/>
      <c r="R35" s="629"/>
      <c r="S35" s="629"/>
      <c r="T35" s="629"/>
      <c r="U35" s="188">
        <v>0</v>
      </c>
      <c r="V35" s="189">
        <f t="shared" ca="1" si="0"/>
        <v>0</v>
      </c>
      <c r="W35" s="195"/>
      <c r="X35" s="195">
        <f t="shared" si="1"/>
        <v>0</v>
      </c>
      <c r="Y35" s="166">
        <f t="shared" si="2"/>
        <v>0</v>
      </c>
      <c r="AA35" s="460" t="b">
        <f t="shared" si="7"/>
        <v>0</v>
      </c>
      <c r="AB35" s="257" t="b">
        <f t="shared" si="7"/>
        <v>0</v>
      </c>
      <c r="AC35" s="257" t="b">
        <f t="shared" si="7"/>
        <v>0</v>
      </c>
      <c r="AD35" s="257" t="b">
        <f t="shared" si="4"/>
        <v>0</v>
      </c>
      <c r="AE35" s="459">
        <f t="shared" si="8"/>
        <v>0</v>
      </c>
      <c r="AF35" s="460" t="b">
        <f t="shared" si="9"/>
        <v>0</v>
      </c>
      <c r="AG35" s="257" t="b">
        <f t="shared" si="10"/>
        <v>0</v>
      </c>
      <c r="AH35" s="459">
        <f t="shared" si="11"/>
        <v>0</v>
      </c>
      <c r="AI35" s="460" t="b">
        <f t="shared" si="12"/>
        <v>0</v>
      </c>
      <c r="AJ35" s="257" t="b">
        <f t="shared" si="13"/>
        <v>0</v>
      </c>
      <c r="AK35" s="459">
        <f t="shared" si="14"/>
        <v>0</v>
      </c>
    </row>
    <row r="36" spans="1:37" x14ac:dyDescent="0.2">
      <c r="A36" s="494"/>
      <c r="B36" s="686"/>
      <c r="C36" s="687"/>
      <c r="D36" s="687"/>
      <c r="E36" s="686"/>
      <c r="F36" s="687"/>
      <c r="G36" s="687"/>
      <c r="H36" s="686"/>
      <c r="I36" s="687"/>
      <c r="J36" s="687"/>
      <c r="K36" s="687"/>
      <c r="L36" s="495"/>
      <c r="M36" s="164" t="str">
        <f t="shared" ca="1" si="5"/>
        <v/>
      </c>
      <c r="N36" s="161"/>
      <c r="O36" s="163" t="str">
        <f t="shared" ca="1" si="6"/>
        <v xml:space="preserve"> </v>
      </c>
      <c r="P36" s="168"/>
      <c r="Q36" s="629"/>
      <c r="R36" s="629"/>
      <c r="S36" s="629"/>
      <c r="T36" s="629"/>
      <c r="U36" s="188">
        <v>0</v>
      </c>
      <c r="V36" s="189">
        <f t="shared" ca="1" si="0"/>
        <v>0</v>
      </c>
      <c r="W36" s="195"/>
      <c r="X36" s="195">
        <f t="shared" si="1"/>
        <v>0</v>
      </c>
      <c r="Y36" s="166">
        <f t="shared" si="2"/>
        <v>0</v>
      </c>
      <c r="AA36" s="460" t="b">
        <f t="shared" si="7"/>
        <v>0</v>
      </c>
      <c r="AB36" s="257" t="b">
        <f t="shared" si="7"/>
        <v>0</v>
      </c>
      <c r="AC36" s="257" t="b">
        <f t="shared" si="7"/>
        <v>0</v>
      </c>
      <c r="AD36" s="257" t="b">
        <f t="shared" si="4"/>
        <v>0</v>
      </c>
      <c r="AE36" s="459">
        <f t="shared" si="8"/>
        <v>0</v>
      </c>
      <c r="AF36" s="460" t="b">
        <f t="shared" si="9"/>
        <v>0</v>
      </c>
      <c r="AG36" s="257" t="b">
        <f t="shared" si="10"/>
        <v>0</v>
      </c>
      <c r="AH36" s="459">
        <f t="shared" si="11"/>
        <v>0</v>
      </c>
      <c r="AI36" s="460" t="b">
        <f t="shared" si="12"/>
        <v>0</v>
      </c>
      <c r="AJ36" s="257" t="b">
        <f t="shared" si="13"/>
        <v>0</v>
      </c>
      <c r="AK36" s="459">
        <f t="shared" si="14"/>
        <v>0</v>
      </c>
    </row>
    <row r="37" spans="1:37" x14ac:dyDescent="0.2">
      <c r="A37" s="494"/>
      <c r="B37" s="686"/>
      <c r="C37" s="687"/>
      <c r="D37" s="687"/>
      <c r="E37" s="686"/>
      <c r="F37" s="687"/>
      <c r="G37" s="687"/>
      <c r="H37" s="686"/>
      <c r="I37" s="687"/>
      <c r="J37" s="687"/>
      <c r="K37" s="687"/>
      <c r="L37" s="495"/>
      <c r="M37" s="164" t="str">
        <f t="shared" ca="1" si="5"/>
        <v/>
      </c>
      <c r="N37" s="161"/>
      <c r="O37" s="163" t="str">
        <f t="shared" ca="1" si="6"/>
        <v xml:space="preserve"> </v>
      </c>
      <c r="P37" s="168"/>
      <c r="Q37" s="629"/>
      <c r="R37" s="629"/>
      <c r="S37" s="629"/>
      <c r="T37" s="629"/>
      <c r="U37" s="188">
        <v>0</v>
      </c>
      <c r="V37" s="189">
        <f t="shared" ca="1" si="0"/>
        <v>0</v>
      </c>
      <c r="W37" s="195"/>
      <c r="X37" s="195">
        <f t="shared" si="1"/>
        <v>0</v>
      </c>
      <c r="Y37" s="166">
        <f t="shared" si="2"/>
        <v>0</v>
      </c>
      <c r="AA37" s="460" t="b">
        <f t="shared" si="7"/>
        <v>0</v>
      </c>
      <c r="AB37" s="257" t="b">
        <f t="shared" si="7"/>
        <v>0</v>
      </c>
      <c r="AC37" s="257" t="b">
        <f t="shared" si="7"/>
        <v>0</v>
      </c>
      <c r="AD37" s="257" t="b">
        <f t="shared" si="4"/>
        <v>0</v>
      </c>
      <c r="AE37" s="459">
        <f t="shared" si="8"/>
        <v>0</v>
      </c>
      <c r="AF37" s="460" t="b">
        <f t="shared" si="9"/>
        <v>0</v>
      </c>
      <c r="AG37" s="257" t="b">
        <f t="shared" si="10"/>
        <v>0</v>
      </c>
      <c r="AH37" s="459">
        <f t="shared" si="11"/>
        <v>0</v>
      </c>
      <c r="AI37" s="460" t="b">
        <f t="shared" si="12"/>
        <v>0</v>
      </c>
      <c r="AJ37" s="257" t="b">
        <f t="shared" si="13"/>
        <v>0</v>
      </c>
      <c r="AK37" s="459">
        <f t="shared" si="14"/>
        <v>0</v>
      </c>
    </row>
    <row r="38" spans="1:37" x14ac:dyDescent="0.2">
      <c r="A38" s="494"/>
      <c r="B38" s="686"/>
      <c r="C38" s="687"/>
      <c r="D38" s="687"/>
      <c r="E38" s="686"/>
      <c r="F38" s="687"/>
      <c r="G38" s="687"/>
      <c r="H38" s="686"/>
      <c r="I38" s="687"/>
      <c r="J38" s="687"/>
      <c r="K38" s="687"/>
      <c r="L38" s="495"/>
      <c r="M38" s="164" t="str">
        <f t="shared" ca="1" si="5"/>
        <v/>
      </c>
      <c r="N38" s="161"/>
      <c r="O38" s="163" t="str">
        <f t="shared" ca="1" si="6"/>
        <v xml:space="preserve"> </v>
      </c>
      <c r="P38" s="168"/>
      <c r="Q38" s="629"/>
      <c r="R38" s="629"/>
      <c r="S38" s="629"/>
      <c r="T38" s="629"/>
      <c r="U38" s="188">
        <v>0</v>
      </c>
      <c r="V38" s="189">
        <f t="shared" ca="1" si="0"/>
        <v>0</v>
      </c>
      <c r="W38" s="195"/>
      <c r="X38" s="195">
        <f t="shared" si="1"/>
        <v>0</v>
      </c>
      <c r="Y38" s="166">
        <f t="shared" si="2"/>
        <v>0</v>
      </c>
      <c r="AA38" s="460" t="b">
        <f t="shared" si="7"/>
        <v>0</v>
      </c>
      <c r="AB38" s="257" t="b">
        <f t="shared" si="7"/>
        <v>0</v>
      </c>
      <c r="AC38" s="257" t="b">
        <f t="shared" si="7"/>
        <v>0</v>
      </c>
      <c r="AD38" s="257" t="b">
        <f t="shared" si="4"/>
        <v>0</v>
      </c>
      <c r="AE38" s="459">
        <f t="shared" si="8"/>
        <v>0</v>
      </c>
      <c r="AF38" s="460" t="b">
        <f t="shared" si="9"/>
        <v>0</v>
      </c>
      <c r="AG38" s="257" t="b">
        <f t="shared" si="10"/>
        <v>0</v>
      </c>
      <c r="AH38" s="459">
        <f t="shared" si="11"/>
        <v>0</v>
      </c>
      <c r="AI38" s="460" t="b">
        <f t="shared" si="12"/>
        <v>0</v>
      </c>
      <c r="AJ38" s="257" t="b">
        <f t="shared" si="13"/>
        <v>0</v>
      </c>
      <c r="AK38" s="459">
        <f t="shared" si="14"/>
        <v>0</v>
      </c>
    </row>
    <row r="39" spans="1:37" x14ac:dyDescent="0.2">
      <c r="A39" s="494"/>
      <c r="B39" s="686"/>
      <c r="C39" s="687"/>
      <c r="D39" s="687"/>
      <c r="E39" s="686"/>
      <c r="F39" s="687"/>
      <c r="G39" s="687"/>
      <c r="H39" s="686"/>
      <c r="I39" s="687"/>
      <c r="J39" s="687"/>
      <c r="K39" s="687"/>
      <c r="L39" s="495"/>
      <c r="M39" s="164" t="str">
        <f t="shared" ca="1" si="5"/>
        <v/>
      </c>
      <c r="N39" s="161"/>
      <c r="O39" s="163" t="str">
        <f t="shared" ca="1" si="6"/>
        <v xml:space="preserve"> </v>
      </c>
      <c r="P39" s="168"/>
      <c r="Q39" s="629"/>
      <c r="R39" s="629"/>
      <c r="S39" s="629"/>
      <c r="T39" s="629"/>
      <c r="U39" s="188">
        <v>0</v>
      </c>
      <c r="V39" s="189">
        <f t="shared" ca="1" si="0"/>
        <v>0</v>
      </c>
      <c r="W39" s="195"/>
      <c r="X39" s="195">
        <f t="shared" si="1"/>
        <v>0</v>
      </c>
      <c r="Y39" s="166">
        <f t="shared" si="2"/>
        <v>0</v>
      </c>
      <c r="AA39" s="460" t="b">
        <f t="shared" si="7"/>
        <v>0</v>
      </c>
      <c r="AB39" s="257" t="b">
        <f t="shared" si="7"/>
        <v>0</v>
      </c>
      <c r="AC39" s="257" t="b">
        <f t="shared" si="7"/>
        <v>0</v>
      </c>
      <c r="AD39" s="257" t="b">
        <f t="shared" si="4"/>
        <v>0</v>
      </c>
      <c r="AE39" s="459">
        <f t="shared" si="8"/>
        <v>0</v>
      </c>
      <c r="AF39" s="460" t="b">
        <f t="shared" si="9"/>
        <v>0</v>
      </c>
      <c r="AG39" s="257" t="b">
        <f t="shared" si="10"/>
        <v>0</v>
      </c>
      <c r="AH39" s="459">
        <f t="shared" si="11"/>
        <v>0</v>
      </c>
      <c r="AI39" s="460" t="b">
        <f t="shared" si="12"/>
        <v>0</v>
      </c>
      <c r="AJ39" s="257" t="b">
        <f t="shared" si="13"/>
        <v>0</v>
      </c>
      <c r="AK39" s="459">
        <f t="shared" si="14"/>
        <v>0</v>
      </c>
    </row>
    <row r="40" spans="1:37" x14ac:dyDescent="0.2">
      <c r="A40" s="494"/>
      <c r="B40" s="686"/>
      <c r="C40" s="687"/>
      <c r="D40" s="687"/>
      <c r="E40" s="686"/>
      <c r="F40" s="687"/>
      <c r="G40" s="687"/>
      <c r="H40" s="686"/>
      <c r="I40" s="687"/>
      <c r="J40" s="687"/>
      <c r="K40" s="687"/>
      <c r="L40" s="495"/>
      <c r="M40" s="164" t="str">
        <f t="shared" ca="1" si="5"/>
        <v/>
      </c>
      <c r="N40" s="161"/>
      <c r="O40" s="163" t="str">
        <f t="shared" ca="1" si="6"/>
        <v xml:space="preserve"> </v>
      </c>
      <c r="P40" s="168"/>
      <c r="Q40" s="629"/>
      <c r="R40" s="629"/>
      <c r="S40" s="629"/>
      <c r="T40" s="629"/>
      <c r="U40" s="188">
        <v>0</v>
      </c>
      <c r="V40" s="189">
        <f t="shared" ca="1" si="0"/>
        <v>0</v>
      </c>
      <c r="W40" s="195"/>
      <c r="X40" s="195">
        <f t="shared" si="1"/>
        <v>0</v>
      </c>
      <c r="Y40" s="166">
        <f t="shared" si="2"/>
        <v>0</v>
      </c>
      <c r="AA40" s="460" t="b">
        <f t="shared" si="7"/>
        <v>0</v>
      </c>
      <c r="AB40" s="257" t="b">
        <f t="shared" si="7"/>
        <v>0</v>
      </c>
      <c r="AC40" s="257" t="b">
        <f t="shared" si="7"/>
        <v>0</v>
      </c>
      <c r="AD40" s="257" t="b">
        <f t="shared" si="4"/>
        <v>0</v>
      </c>
      <c r="AE40" s="459">
        <f t="shared" si="8"/>
        <v>0</v>
      </c>
      <c r="AF40" s="460" t="b">
        <f t="shared" si="9"/>
        <v>0</v>
      </c>
      <c r="AG40" s="257" t="b">
        <f t="shared" si="10"/>
        <v>0</v>
      </c>
      <c r="AH40" s="459">
        <f t="shared" si="11"/>
        <v>0</v>
      </c>
      <c r="AI40" s="460" t="b">
        <f t="shared" si="12"/>
        <v>0</v>
      </c>
      <c r="AJ40" s="257" t="b">
        <f t="shared" si="13"/>
        <v>0</v>
      </c>
      <c r="AK40" s="459">
        <f t="shared" si="14"/>
        <v>0</v>
      </c>
    </row>
    <row r="41" spans="1:37" x14ac:dyDescent="0.2">
      <c r="A41" s="494"/>
      <c r="B41" s="686"/>
      <c r="C41" s="687"/>
      <c r="D41" s="687"/>
      <c r="E41" s="686"/>
      <c r="F41" s="687"/>
      <c r="G41" s="687"/>
      <c r="H41" s="686"/>
      <c r="I41" s="687"/>
      <c r="J41" s="687"/>
      <c r="K41" s="687"/>
      <c r="L41" s="495"/>
      <c r="M41" s="164" t="str">
        <f t="shared" ca="1" si="5"/>
        <v/>
      </c>
      <c r="N41" s="161"/>
      <c r="O41" s="163" t="str">
        <f t="shared" ca="1" si="6"/>
        <v xml:space="preserve"> </v>
      </c>
      <c r="P41" s="168"/>
      <c r="Q41" s="629"/>
      <c r="R41" s="629"/>
      <c r="S41" s="629"/>
      <c r="T41" s="629"/>
      <c r="U41" s="188">
        <v>0</v>
      </c>
      <c r="V41" s="189">
        <f t="shared" ca="1" si="0"/>
        <v>0</v>
      </c>
      <c r="W41" s="195"/>
      <c r="X41" s="195">
        <f t="shared" si="1"/>
        <v>0</v>
      </c>
      <c r="Y41" s="166">
        <f t="shared" si="2"/>
        <v>0</v>
      </c>
      <c r="AA41" s="460" t="b">
        <f t="shared" si="7"/>
        <v>0</v>
      </c>
      <c r="AB41" s="257" t="b">
        <f t="shared" si="7"/>
        <v>0</v>
      </c>
      <c r="AC41" s="257" t="b">
        <f t="shared" si="7"/>
        <v>0</v>
      </c>
      <c r="AD41" s="257" t="b">
        <f t="shared" si="4"/>
        <v>0</v>
      </c>
      <c r="AE41" s="459">
        <f t="shared" si="8"/>
        <v>0</v>
      </c>
      <c r="AF41" s="460" t="b">
        <f t="shared" si="9"/>
        <v>0</v>
      </c>
      <c r="AG41" s="257" t="b">
        <f t="shared" si="10"/>
        <v>0</v>
      </c>
      <c r="AH41" s="459">
        <f t="shared" si="11"/>
        <v>0</v>
      </c>
      <c r="AI41" s="460" t="b">
        <f t="shared" si="12"/>
        <v>0</v>
      </c>
      <c r="AJ41" s="257" t="b">
        <f t="shared" si="13"/>
        <v>0</v>
      </c>
      <c r="AK41" s="459">
        <f t="shared" si="14"/>
        <v>0</v>
      </c>
    </row>
    <row r="42" spans="1:37" x14ac:dyDescent="0.2">
      <c r="A42" s="494"/>
      <c r="B42" s="686"/>
      <c r="C42" s="687"/>
      <c r="D42" s="687"/>
      <c r="E42" s="686"/>
      <c r="F42" s="687"/>
      <c r="G42" s="687"/>
      <c r="H42" s="686"/>
      <c r="I42" s="687"/>
      <c r="J42" s="687"/>
      <c r="K42" s="687"/>
      <c r="L42" s="495"/>
      <c r="M42" s="164" t="str">
        <f t="shared" ca="1" si="5"/>
        <v/>
      </c>
      <c r="N42" s="161"/>
      <c r="O42" s="163" t="str">
        <f t="shared" ca="1" si="6"/>
        <v xml:space="preserve"> </v>
      </c>
      <c r="P42" s="168"/>
      <c r="Q42" s="629"/>
      <c r="R42" s="629"/>
      <c r="S42" s="629"/>
      <c r="T42" s="629"/>
      <c r="U42" s="188">
        <v>0</v>
      </c>
      <c r="V42" s="189">
        <f t="shared" ca="1" si="0"/>
        <v>0</v>
      </c>
      <c r="W42" s="195"/>
      <c r="X42" s="195">
        <f t="shared" si="1"/>
        <v>0</v>
      </c>
      <c r="Y42" s="166">
        <f t="shared" si="2"/>
        <v>0</v>
      </c>
      <c r="AA42" s="460" t="b">
        <f t="shared" si="7"/>
        <v>0</v>
      </c>
      <c r="AB42" s="257" t="b">
        <f t="shared" si="7"/>
        <v>0</v>
      </c>
      <c r="AC42" s="257" t="b">
        <f t="shared" si="7"/>
        <v>0</v>
      </c>
      <c r="AD42" s="257" t="b">
        <f t="shared" si="4"/>
        <v>0</v>
      </c>
      <c r="AE42" s="459">
        <f t="shared" si="8"/>
        <v>0</v>
      </c>
      <c r="AF42" s="460" t="b">
        <f t="shared" si="9"/>
        <v>0</v>
      </c>
      <c r="AG42" s="257" t="b">
        <f t="shared" si="10"/>
        <v>0</v>
      </c>
      <c r="AH42" s="459">
        <f t="shared" si="11"/>
        <v>0</v>
      </c>
      <c r="AI42" s="460" t="b">
        <f t="shared" si="12"/>
        <v>0</v>
      </c>
      <c r="AJ42" s="257" t="b">
        <f t="shared" si="13"/>
        <v>0</v>
      </c>
      <c r="AK42" s="459">
        <f t="shared" si="14"/>
        <v>0</v>
      </c>
    </row>
    <row r="43" spans="1:37" x14ac:dyDescent="0.2">
      <c r="A43" s="494"/>
      <c r="B43" s="686"/>
      <c r="C43" s="687"/>
      <c r="D43" s="687"/>
      <c r="E43" s="686"/>
      <c r="F43" s="687"/>
      <c r="G43" s="687"/>
      <c r="H43" s="686"/>
      <c r="I43" s="687"/>
      <c r="J43" s="687"/>
      <c r="K43" s="687"/>
      <c r="L43" s="495"/>
      <c r="M43" s="164" t="str">
        <f t="shared" ca="1" si="5"/>
        <v/>
      </c>
      <c r="N43" s="161"/>
      <c r="O43" s="163" t="str">
        <f t="shared" ca="1" si="6"/>
        <v xml:space="preserve"> </v>
      </c>
      <c r="P43" s="168"/>
      <c r="Q43" s="629"/>
      <c r="R43" s="629"/>
      <c r="S43" s="629"/>
      <c r="T43" s="629"/>
      <c r="U43" s="188">
        <v>0</v>
      </c>
      <c r="V43" s="189">
        <f t="shared" ca="1" si="0"/>
        <v>0</v>
      </c>
      <c r="W43" s="195"/>
      <c r="X43" s="195">
        <f t="shared" si="1"/>
        <v>0</v>
      </c>
      <c r="Y43" s="166">
        <f t="shared" si="2"/>
        <v>0</v>
      </c>
      <c r="AA43" s="460" t="b">
        <f t="shared" si="7"/>
        <v>0</v>
      </c>
      <c r="AB43" s="257" t="b">
        <f t="shared" si="7"/>
        <v>0</v>
      </c>
      <c r="AC43" s="257" t="b">
        <f t="shared" si="7"/>
        <v>0</v>
      </c>
      <c r="AD43" s="257" t="b">
        <f t="shared" si="4"/>
        <v>0</v>
      </c>
      <c r="AE43" s="459">
        <f t="shared" si="8"/>
        <v>0</v>
      </c>
      <c r="AF43" s="460" t="b">
        <f t="shared" si="9"/>
        <v>0</v>
      </c>
      <c r="AG43" s="257" t="b">
        <f t="shared" si="10"/>
        <v>0</v>
      </c>
      <c r="AH43" s="459">
        <f t="shared" si="11"/>
        <v>0</v>
      </c>
      <c r="AI43" s="460" t="b">
        <f t="shared" si="12"/>
        <v>0</v>
      </c>
      <c r="AJ43" s="257" t="b">
        <f t="shared" si="13"/>
        <v>0</v>
      </c>
      <c r="AK43" s="459">
        <f t="shared" si="14"/>
        <v>0</v>
      </c>
    </row>
    <row r="44" spans="1:37" x14ac:dyDescent="0.2">
      <c r="A44" s="494"/>
      <c r="B44" s="686"/>
      <c r="C44" s="687"/>
      <c r="D44" s="687"/>
      <c r="E44" s="686"/>
      <c r="F44" s="687"/>
      <c r="G44" s="687"/>
      <c r="H44" s="686"/>
      <c r="I44" s="687"/>
      <c r="J44" s="687"/>
      <c r="K44" s="687"/>
      <c r="L44" s="495"/>
      <c r="M44" s="164" t="str">
        <f t="shared" ca="1" si="5"/>
        <v/>
      </c>
      <c r="N44" s="161"/>
      <c r="O44" s="163" t="str">
        <f t="shared" ca="1" si="6"/>
        <v xml:space="preserve"> </v>
      </c>
      <c r="P44" s="168"/>
      <c r="Q44" s="629"/>
      <c r="R44" s="629"/>
      <c r="S44" s="629"/>
      <c r="T44" s="629"/>
      <c r="U44" s="188">
        <v>0</v>
      </c>
      <c r="V44" s="189">
        <f t="shared" ca="1" si="0"/>
        <v>0</v>
      </c>
      <c r="W44" s="195"/>
      <c r="X44" s="195">
        <f t="shared" si="1"/>
        <v>0</v>
      </c>
      <c r="Y44" s="166">
        <f t="shared" si="2"/>
        <v>0</v>
      </c>
      <c r="AA44" s="460" t="b">
        <f t="shared" si="7"/>
        <v>0</v>
      </c>
      <c r="AB44" s="257" t="b">
        <f t="shared" si="7"/>
        <v>0</v>
      </c>
      <c r="AC44" s="257" t="b">
        <f t="shared" si="7"/>
        <v>0</v>
      </c>
      <c r="AD44" s="257" t="b">
        <f t="shared" si="4"/>
        <v>0</v>
      </c>
      <c r="AE44" s="459">
        <f t="shared" si="8"/>
        <v>0</v>
      </c>
      <c r="AF44" s="460" t="b">
        <f t="shared" si="9"/>
        <v>0</v>
      </c>
      <c r="AG44" s="257" t="b">
        <f t="shared" si="10"/>
        <v>0</v>
      </c>
      <c r="AH44" s="459">
        <f t="shared" si="11"/>
        <v>0</v>
      </c>
      <c r="AI44" s="460" t="b">
        <f t="shared" si="12"/>
        <v>0</v>
      </c>
      <c r="AJ44" s="257" t="b">
        <f t="shared" si="13"/>
        <v>0</v>
      </c>
      <c r="AK44" s="459">
        <f t="shared" si="14"/>
        <v>0</v>
      </c>
    </row>
    <row r="45" spans="1:37" x14ac:dyDescent="0.2">
      <c r="A45" s="494"/>
      <c r="B45" s="686"/>
      <c r="C45" s="687"/>
      <c r="D45" s="687"/>
      <c r="E45" s="686"/>
      <c r="F45" s="687"/>
      <c r="G45" s="687"/>
      <c r="H45" s="686"/>
      <c r="I45" s="687"/>
      <c r="J45" s="687"/>
      <c r="K45" s="687"/>
      <c r="L45" s="495"/>
      <c r="M45" s="164" t="str">
        <f t="shared" ca="1" si="5"/>
        <v/>
      </c>
      <c r="N45" s="161"/>
      <c r="O45" s="163" t="str">
        <f t="shared" ca="1" si="6"/>
        <v xml:space="preserve"> </v>
      </c>
      <c r="P45" s="168"/>
      <c r="Q45" s="629"/>
      <c r="R45" s="629"/>
      <c r="S45" s="629"/>
      <c r="T45" s="629"/>
      <c r="U45" s="188">
        <v>0</v>
      </c>
      <c r="V45" s="189">
        <f t="shared" ca="1" si="0"/>
        <v>0</v>
      </c>
      <c r="W45" s="195"/>
      <c r="X45" s="195">
        <f t="shared" si="1"/>
        <v>0</v>
      </c>
      <c r="Y45" s="166">
        <f t="shared" si="2"/>
        <v>0</v>
      </c>
      <c r="AA45" s="460" t="b">
        <f t="shared" si="7"/>
        <v>0</v>
      </c>
      <c r="AB45" s="257" t="b">
        <f t="shared" si="7"/>
        <v>0</v>
      </c>
      <c r="AC45" s="257" t="b">
        <f t="shared" si="7"/>
        <v>0</v>
      </c>
      <c r="AD45" s="257" t="b">
        <f t="shared" si="4"/>
        <v>0</v>
      </c>
      <c r="AE45" s="459">
        <f t="shared" si="8"/>
        <v>0</v>
      </c>
      <c r="AF45" s="460" t="b">
        <f t="shared" si="9"/>
        <v>0</v>
      </c>
      <c r="AG45" s="257" t="b">
        <f t="shared" si="10"/>
        <v>0</v>
      </c>
      <c r="AH45" s="459">
        <f t="shared" si="11"/>
        <v>0</v>
      </c>
      <c r="AI45" s="460" t="b">
        <f t="shared" si="12"/>
        <v>0</v>
      </c>
      <c r="AJ45" s="257" t="b">
        <f t="shared" si="13"/>
        <v>0</v>
      </c>
      <c r="AK45" s="459">
        <f t="shared" si="14"/>
        <v>0</v>
      </c>
    </row>
    <row r="46" spans="1:37" x14ac:dyDescent="0.2">
      <c r="A46" s="494"/>
      <c r="B46" s="686"/>
      <c r="C46" s="687"/>
      <c r="D46" s="687"/>
      <c r="E46" s="686"/>
      <c r="F46" s="687"/>
      <c r="G46" s="687"/>
      <c r="H46" s="686"/>
      <c r="I46" s="687"/>
      <c r="J46" s="687"/>
      <c r="K46" s="687"/>
      <c r="L46" s="495"/>
      <c r="M46" s="164" t="str">
        <f t="shared" ca="1" si="5"/>
        <v/>
      </c>
      <c r="N46" s="161"/>
      <c r="O46" s="163" t="str">
        <f t="shared" ca="1" si="6"/>
        <v xml:space="preserve"> </v>
      </c>
      <c r="P46" s="168"/>
      <c r="Q46" s="629"/>
      <c r="R46" s="629"/>
      <c r="S46" s="629"/>
      <c r="T46" s="629"/>
      <c r="U46" s="188">
        <v>0</v>
      </c>
      <c r="V46" s="189">
        <f t="shared" ca="1" si="0"/>
        <v>0</v>
      </c>
      <c r="W46" s="195"/>
      <c r="X46" s="195">
        <f t="shared" si="1"/>
        <v>0</v>
      </c>
      <c r="Y46" s="166">
        <f t="shared" si="2"/>
        <v>0</v>
      </c>
      <c r="AA46" s="460" t="b">
        <f t="shared" si="7"/>
        <v>0</v>
      </c>
      <c r="AB46" s="257" t="b">
        <f t="shared" si="7"/>
        <v>0</v>
      </c>
      <c r="AC46" s="257" t="b">
        <f t="shared" si="7"/>
        <v>0</v>
      </c>
      <c r="AD46" s="257" t="b">
        <f t="shared" si="4"/>
        <v>0</v>
      </c>
      <c r="AE46" s="459">
        <f t="shared" si="8"/>
        <v>0</v>
      </c>
      <c r="AF46" s="460" t="b">
        <f t="shared" si="9"/>
        <v>0</v>
      </c>
      <c r="AG46" s="257" t="b">
        <f t="shared" si="10"/>
        <v>0</v>
      </c>
      <c r="AH46" s="459">
        <f t="shared" si="11"/>
        <v>0</v>
      </c>
      <c r="AI46" s="460" t="b">
        <f t="shared" si="12"/>
        <v>0</v>
      </c>
      <c r="AJ46" s="257" t="b">
        <f t="shared" si="13"/>
        <v>0</v>
      </c>
      <c r="AK46" s="459">
        <f t="shared" si="14"/>
        <v>0</v>
      </c>
    </row>
    <row r="47" spans="1:37" x14ac:dyDescent="0.2">
      <c r="A47" s="494"/>
      <c r="B47" s="686"/>
      <c r="C47" s="687"/>
      <c r="D47" s="687"/>
      <c r="E47" s="686"/>
      <c r="F47" s="687"/>
      <c r="G47" s="687"/>
      <c r="H47" s="686"/>
      <c r="I47" s="687"/>
      <c r="J47" s="687"/>
      <c r="K47" s="687"/>
      <c r="L47" s="495"/>
      <c r="M47" s="164" t="str">
        <f t="shared" ca="1" si="5"/>
        <v/>
      </c>
      <c r="N47" s="161"/>
      <c r="O47" s="163" t="str">
        <f t="shared" ca="1" si="6"/>
        <v xml:space="preserve"> </v>
      </c>
      <c r="P47" s="168"/>
      <c r="Q47" s="629"/>
      <c r="R47" s="629"/>
      <c r="S47" s="629"/>
      <c r="T47" s="629"/>
      <c r="U47" s="188">
        <v>0</v>
      </c>
      <c r="V47" s="189">
        <f t="shared" ca="1" si="0"/>
        <v>0</v>
      </c>
      <c r="W47" s="195"/>
      <c r="X47" s="195">
        <f t="shared" si="1"/>
        <v>0</v>
      </c>
      <c r="Y47" s="166">
        <f t="shared" si="2"/>
        <v>0</v>
      </c>
      <c r="AA47" s="460" t="b">
        <f t="shared" si="7"/>
        <v>0</v>
      </c>
      <c r="AB47" s="257" t="b">
        <f t="shared" si="7"/>
        <v>0</v>
      </c>
      <c r="AC47" s="257" t="b">
        <f t="shared" si="7"/>
        <v>0</v>
      </c>
      <c r="AD47" s="257" t="b">
        <f t="shared" si="4"/>
        <v>0</v>
      </c>
      <c r="AE47" s="459">
        <f t="shared" si="8"/>
        <v>0</v>
      </c>
      <c r="AF47" s="460" t="b">
        <f t="shared" si="9"/>
        <v>0</v>
      </c>
      <c r="AG47" s="257" t="b">
        <f t="shared" si="10"/>
        <v>0</v>
      </c>
      <c r="AH47" s="459">
        <f t="shared" si="11"/>
        <v>0</v>
      </c>
      <c r="AI47" s="460" t="b">
        <f t="shared" si="12"/>
        <v>0</v>
      </c>
      <c r="AJ47" s="257" t="b">
        <f t="shared" si="13"/>
        <v>0</v>
      </c>
      <c r="AK47" s="459">
        <f t="shared" si="14"/>
        <v>0</v>
      </c>
    </row>
    <row r="48" spans="1:37" x14ac:dyDescent="0.2">
      <c r="A48" s="494"/>
      <c r="B48" s="686"/>
      <c r="C48" s="687"/>
      <c r="D48" s="687"/>
      <c r="E48" s="686"/>
      <c r="F48" s="687"/>
      <c r="G48" s="687"/>
      <c r="H48" s="686"/>
      <c r="I48" s="687"/>
      <c r="J48" s="687"/>
      <c r="K48" s="687"/>
      <c r="L48" s="495"/>
      <c r="M48" s="164" t="str">
        <f t="shared" ca="1" si="5"/>
        <v/>
      </c>
      <c r="N48" s="161"/>
      <c r="O48" s="163" t="str">
        <f t="shared" ca="1" si="6"/>
        <v xml:space="preserve"> </v>
      </c>
      <c r="P48" s="168"/>
      <c r="Q48" s="629"/>
      <c r="R48" s="629"/>
      <c r="S48" s="629"/>
      <c r="T48" s="629"/>
      <c r="U48" s="188">
        <v>0</v>
      </c>
      <c r="V48" s="189">
        <f t="shared" ca="1" si="0"/>
        <v>0</v>
      </c>
      <c r="W48" s="195"/>
      <c r="X48" s="195">
        <f t="shared" si="1"/>
        <v>0</v>
      </c>
      <c r="Y48" s="166">
        <f t="shared" si="2"/>
        <v>0</v>
      </c>
      <c r="AA48" s="460" t="b">
        <f t="shared" si="7"/>
        <v>0</v>
      </c>
      <c r="AB48" s="257" t="b">
        <f t="shared" si="7"/>
        <v>0</v>
      </c>
      <c r="AC48" s="257" t="b">
        <f t="shared" si="7"/>
        <v>0</v>
      </c>
      <c r="AD48" s="257" t="b">
        <f t="shared" si="4"/>
        <v>0</v>
      </c>
      <c r="AE48" s="459">
        <f t="shared" si="8"/>
        <v>0</v>
      </c>
      <c r="AF48" s="460" t="b">
        <f t="shared" si="9"/>
        <v>0</v>
      </c>
      <c r="AG48" s="257" t="b">
        <f t="shared" si="10"/>
        <v>0</v>
      </c>
      <c r="AH48" s="459">
        <f t="shared" si="11"/>
        <v>0</v>
      </c>
      <c r="AI48" s="460" t="b">
        <f t="shared" si="12"/>
        <v>0</v>
      </c>
      <c r="AJ48" s="257" t="b">
        <f t="shared" si="13"/>
        <v>0</v>
      </c>
      <c r="AK48" s="459">
        <f t="shared" si="14"/>
        <v>0</v>
      </c>
    </row>
    <row r="49" spans="1:37" x14ac:dyDescent="0.2">
      <c r="A49" s="494"/>
      <c r="B49" s="686"/>
      <c r="C49" s="687"/>
      <c r="D49" s="687"/>
      <c r="E49" s="686"/>
      <c r="F49" s="687"/>
      <c r="G49" s="687"/>
      <c r="H49" s="686"/>
      <c r="I49" s="687"/>
      <c r="J49" s="687"/>
      <c r="K49" s="687"/>
      <c r="L49" s="495"/>
      <c r="M49" s="164" t="str">
        <f t="shared" ca="1" si="5"/>
        <v/>
      </c>
      <c r="N49" s="161"/>
      <c r="O49" s="163" t="str">
        <f t="shared" ca="1" si="6"/>
        <v xml:space="preserve"> </v>
      </c>
      <c r="P49" s="168"/>
      <c r="Q49" s="629"/>
      <c r="R49" s="629"/>
      <c r="S49" s="629"/>
      <c r="T49" s="629"/>
      <c r="U49" s="188">
        <v>0</v>
      </c>
      <c r="V49" s="189">
        <f t="shared" ca="1" si="0"/>
        <v>0</v>
      </c>
      <c r="W49" s="195"/>
      <c r="X49" s="195">
        <f t="shared" si="1"/>
        <v>0</v>
      </c>
      <c r="Y49" s="166">
        <f t="shared" si="2"/>
        <v>0</v>
      </c>
      <c r="AA49" s="460" t="b">
        <f t="shared" si="7"/>
        <v>0</v>
      </c>
      <c r="AB49" s="257" t="b">
        <f t="shared" si="7"/>
        <v>0</v>
      </c>
      <c r="AC49" s="257" t="b">
        <f t="shared" si="7"/>
        <v>0</v>
      </c>
      <c r="AD49" s="257" t="b">
        <f t="shared" si="4"/>
        <v>0</v>
      </c>
      <c r="AE49" s="459">
        <f t="shared" si="8"/>
        <v>0</v>
      </c>
      <c r="AF49" s="460" t="b">
        <f t="shared" si="9"/>
        <v>0</v>
      </c>
      <c r="AG49" s="257" t="b">
        <f t="shared" si="10"/>
        <v>0</v>
      </c>
      <c r="AH49" s="459">
        <f t="shared" si="11"/>
        <v>0</v>
      </c>
      <c r="AI49" s="460" t="b">
        <f t="shared" si="12"/>
        <v>0</v>
      </c>
      <c r="AJ49" s="257" t="b">
        <f t="shared" si="13"/>
        <v>0</v>
      </c>
      <c r="AK49" s="459">
        <f t="shared" si="14"/>
        <v>0</v>
      </c>
    </row>
    <row r="50" spans="1:37" x14ac:dyDescent="0.2">
      <c r="A50" s="494"/>
      <c r="B50" s="686"/>
      <c r="C50" s="687"/>
      <c r="D50" s="687"/>
      <c r="E50" s="686"/>
      <c r="F50" s="687"/>
      <c r="G50" s="687"/>
      <c r="H50" s="686"/>
      <c r="I50" s="687"/>
      <c r="J50" s="687"/>
      <c r="K50" s="687"/>
      <c r="L50" s="495"/>
      <c r="M50" s="164" t="str">
        <f t="shared" ca="1" si="5"/>
        <v/>
      </c>
      <c r="N50" s="161"/>
      <c r="O50" s="163" t="str">
        <f t="shared" ca="1" si="6"/>
        <v xml:space="preserve"> </v>
      </c>
      <c r="P50" s="168"/>
      <c r="Q50" s="629"/>
      <c r="R50" s="629"/>
      <c r="S50" s="629"/>
      <c r="T50" s="629"/>
      <c r="U50" s="188">
        <v>0</v>
      </c>
      <c r="V50" s="189">
        <f t="shared" ca="1" si="0"/>
        <v>0</v>
      </c>
      <c r="W50" s="195"/>
      <c r="X50" s="195">
        <f t="shared" si="1"/>
        <v>0</v>
      </c>
      <c r="Y50" s="166">
        <f t="shared" si="2"/>
        <v>0</v>
      </c>
      <c r="AA50" s="460" t="b">
        <f t="shared" si="7"/>
        <v>0</v>
      </c>
      <c r="AB50" s="257" t="b">
        <f t="shared" si="7"/>
        <v>0</v>
      </c>
      <c r="AC50" s="257" t="b">
        <f t="shared" si="7"/>
        <v>0</v>
      </c>
      <c r="AD50" s="257" t="b">
        <f t="shared" si="4"/>
        <v>0</v>
      </c>
      <c r="AE50" s="459">
        <f t="shared" si="8"/>
        <v>0</v>
      </c>
      <c r="AF50" s="460" t="b">
        <f t="shared" si="9"/>
        <v>0</v>
      </c>
      <c r="AG50" s="257" t="b">
        <f t="shared" si="10"/>
        <v>0</v>
      </c>
      <c r="AH50" s="459">
        <f t="shared" si="11"/>
        <v>0</v>
      </c>
      <c r="AI50" s="460" t="b">
        <f t="shared" si="12"/>
        <v>0</v>
      </c>
      <c r="AJ50" s="257" t="b">
        <f t="shared" si="13"/>
        <v>0</v>
      </c>
      <c r="AK50" s="459">
        <f t="shared" si="14"/>
        <v>0</v>
      </c>
    </row>
    <row r="51" spans="1:37" x14ac:dyDescent="0.2">
      <c r="A51" s="494"/>
      <c r="B51" s="686"/>
      <c r="C51" s="687"/>
      <c r="D51" s="687"/>
      <c r="E51" s="686"/>
      <c r="F51" s="687"/>
      <c r="G51" s="687"/>
      <c r="H51" s="686"/>
      <c r="I51" s="687"/>
      <c r="J51" s="687"/>
      <c r="K51" s="687"/>
      <c r="L51" s="495"/>
      <c r="M51" s="164" t="str">
        <f t="shared" ca="1" si="5"/>
        <v/>
      </c>
      <c r="N51" s="161"/>
      <c r="O51" s="163" t="str">
        <f t="shared" ca="1" si="6"/>
        <v xml:space="preserve"> </v>
      </c>
      <c r="P51" s="168"/>
      <c r="Q51" s="629"/>
      <c r="R51" s="629"/>
      <c r="S51" s="629"/>
      <c r="T51" s="629"/>
      <c r="U51" s="188">
        <v>0</v>
      </c>
      <c r="V51" s="189">
        <f t="shared" ca="1" si="0"/>
        <v>0</v>
      </c>
      <c r="W51" s="195"/>
      <c r="X51" s="195">
        <f t="shared" si="1"/>
        <v>0</v>
      </c>
      <c r="Y51" s="166">
        <f t="shared" si="2"/>
        <v>0</v>
      </c>
      <c r="AA51" s="460" t="b">
        <f t="shared" si="7"/>
        <v>0</v>
      </c>
      <c r="AB51" s="257" t="b">
        <f t="shared" si="7"/>
        <v>0</v>
      </c>
      <c r="AC51" s="257" t="b">
        <f t="shared" si="7"/>
        <v>0</v>
      </c>
      <c r="AD51" s="257" t="b">
        <f t="shared" si="4"/>
        <v>0</v>
      </c>
      <c r="AE51" s="459">
        <f t="shared" si="8"/>
        <v>0</v>
      </c>
      <c r="AF51" s="460" t="b">
        <f t="shared" si="9"/>
        <v>0</v>
      </c>
      <c r="AG51" s="257" t="b">
        <f t="shared" si="10"/>
        <v>0</v>
      </c>
      <c r="AH51" s="459">
        <f t="shared" si="11"/>
        <v>0</v>
      </c>
      <c r="AI51" s="460" t="b">
        <f t="shared" si="12"/>
        <v>0</v>
      </c>
      <c r="AJ51" s="257" t="b">
        <f t="shared" si="13"/>
        <v>0</v>
      </c>
      <c r="AK51" s="459">
        <f t="shared" si="14"/>
        <v>0</v>
      </c>
    </row>
    <row r="52" spans="1:37" x14ac:dyDescent="0.2">
      <c r="A52" s="494"/>
      <c r="B52" s="686"/>
      <c r="C52" s="687"/>
      <c r="D52" s="687"/>
      <c r="E52" s="686"/>
      <c r="F52" s="687"/>
      <c r="G52" s="687"/>
      <c r="H52" s="686"/>
      <c r="I52" s="687"/>
      <c r="J52" s="687"/>
      <c r="K52" s="687"/>
      <c r="L52" s="495"/>
      <c r="M52" s="164" t="str">
        <f t="shared" ca="1" si="5"/>
        <v/>
      </c>
      <c r="N52" s="161"/>
      <c r="O52" s="163" t="str">
        <f t="shared" ca="1" si="6"/>
        <v xml:space="preserve"> </v>
      </c>
      <c r="P52" s="168"/>
      <c r="Q52" s="629"/>
      <c r="R52" s="629"/>
      <c r="S52" s="629"/>
      <c r="T52" s="629"/>
      <c r="U52" s="188">
        <v>0</v>
      </c>
      <c r="V52" s="189">
        <f t="shared" ca="1" si="0"/>
        <v>0</v>
      </c>
      <c r="W52" s="195"/>
      <c r="X52" s="195">
        <f t="shared" si="1"/>
        <v>0</v>
      </c>
      <c r="Y52" s="166">
        <f t="shared" si="2"/>
        <v>0</v>
      </c>
      <c r="AA52" s="460" t="b">
        <f t="shared" si="7"/>
        <v>0</v>
      </c>
      <c r="AB52" s="257" t="b">
        <f t="shared" si="7"/>
        <v>0</v>
      </c>
      <c r="AC52" s="257" t="b">
        <f t="shared" si="7"/>
        <v>0</v>
      </c>
      <c r="AD52" s="257" t="b">
        <f t="shared" si="4"/>
        <v>0</v>
      </c>
      <c r="AE52" s="459">
        <f t="shared" si="8"/>
        <v>0</v>
      </c>
      <c r="AF52" s="460" t="b">
        <f t="shared" si="9"/>
        <v>0</v>
      </c>
      <c r="AG52" s="257" t="b">
        <f t="shared" si="10"/>
        <v>0</v>
      </c>
      <c r="AH52" s="459">
        <f t="shared" si="11"/>
        <v>0</v>
      </c>
      <c r="AI52" s="460" t="b">
        <f t="shared" si="12"/>
        <v>0</v>
      </c>
      <c r="AJ52" s="257" t="b">
        <f t="shared" si="13"/>
        <v>0</v>
      </c>
      <c r="AK52" s="459">
        <f t="shared" si="14"/>
        <v>0</v>
      </c>
    </row>
    <row r="53" spans="1:37" x14ac:dyDescent="0.2">
      <c r="A53" s="494"/>
      <c r="B53" s="686"/>
      <c r="C53" s="687"/>
      <c r="D53" s="687"/>
      <c r="E53" s="686"/>
      <c r="F53" s="687"/>
      <c r="G53" s="687"/>
      <c r="H53" s="686"/>
      <c r="I53" s="687"/>
      <c r="J53" s="687"/>
      <c r="K53" s="687"/>
      <c r="L53" s="495"/>
      <c r="M53" s="164" t="str">
        <f t="shared" ca="1" si="5"/>
        <v/>
      </c>
      <c r="N53" s="161"/>
      <c r="O53" s="163" t="str">
        <f t="shared" ca="1" si="6"/>
        <v xml:space="preserve"> </v>
      </c>
      <c r="P53" s="168"/>
      <c r="Q53" s="629"/>
      <c r="R53" s="629"/>
      <c r="S53" s="629"/>
      <c r="T53" s="629"/>
      <c r="U53" s="188">
        <v>0</v>
      </c>
      <c r="V53" s="189">
        <f t="shared" ca="1" si="0"/>
        <v>0</v>
      </c>
      <c r="W53" s="195"/>
      <c r="X53" s="195">
        <f t="shared" si="1"/>
        <v>0</v>
      </c>
      <c r="Y53" s="166">
        <f t="shared" si="2"/>
        <v>0</v>
      </c>
      <c r="AA53" s="460" t="b">
        <f t="shared" si="7"/>
        <v>0</v>
      </c>
      <c r="AB53" s="257" t="b">
        <f t="shared" si="7"/>
        <v>0</v>
      </c>
      <c r="AC53" s="257" t="b">
        <f t="shared" si="7"/>
        <v>0</v>
      </c>
      <c r="AD53" s="257" t="b">
        <f t="shared" si="4"/>
        <v>0</v>
      </c>
      <c r="AE53" s="459">
        <f t="shared" si="8"/>
        <v>0</v>
      </c>
      <c r="AF53" s="460" t="b">
        <f t="shared" si="9"/>
        <v>0</v>
      </c>
      <c r="AG53" s="257" t="b">
        <f t="shared" si="10"/>
        <v>0</v>
      </c>
      <c r="AH53" s="459">
        <f t="shared" si="11"/>
        <v>0</v>
      </c>
      <c r="AI53" s="460" t="b">
        <f t="shared" si="12"/>
        <v>0</v>
      </c>
      <c r="AJ53" s="257" t="b">
        <f t="shared" si="13"/>
        <v>0</v>
      </c>
      <c r="AK53" s="459">
        <f t="shared" si="14"/>
        <v>0</v>
      </c>
    </row>
    <row r="54" spans="1:37" x14ac:dyDescent="0.2">
      <c r="A54" s="494"/>
      <c r="B54" s="686"/>
      <c r="C54" s="687"/>
      <c r="D54" s="687"/>
      <c r="E54" s="686"/>
      <c r="F54" s="687"/>
      <c r="G54" s="687"/>
      <c r="H54" s="686"/>
      <c r="I54" s="687"/>
      <c r="J54" s="687"/>
      <c r="K54" s="687"/>
      <c r="L54" s="495"/>
      <c r="M54" s="164" t="str">
        <f t="shared" ca="1" si="5"/>
        <v/>
      </c>
      <c r="N54" s="161"/>
      <c r="O54" s="163" t="str">
        <f t="shared" ca="1" si="6"/>
        <v xml:space="preserve"> </v>
      </c>
      <c r="P54" s="168"/>
      <c r="Q54" s="629"/>
      <c r="R54" s="629"/>
      <c r="S54" s="629"/>
      <c r="T54" s="629"/>
      <c r="U54" s="188">
        <v>0</v>
      </c>
      <c r="V54" s="189">
        <f t="shared" ca="1" si="0"/>
        <v>0</v>
      </c>
      <c r="W54" s="195"/>
      <c r="X54" s="195">
        <f t="shared" si="1"/>
        <v>0</v>
      </c>
      <c r="Y54" s="166">
        <f t="shared" si="2"/>
        <v>0</v>
      </c>
      <c r="AA54" s="461" t="b">
        <f t="shared" si="7"/>
        <v>0</v>
      </c>
      <c r="AB54" s="462" t="b">
        <f t="shared" si="7"/>
        <v>0</v>
      </c>
      <c r="AC54" s="462" t="b">
        <f t="shared" si="7"/>
        <v>0</v>
      </c>
      <c r="AD54" s="462" t="b">
        <f t="shared" si="4"/>
        <v>0</v>
      </c>
      <c r="AE54" s="463">
        <f t="shared" si="8"/>
        <v>0</v>
      </c>
      <c r="AF54" s="461" t="b">
        <f t="shared" si="9"/>
        <v>0</v>
      </c>
      <c r="AG54" s="462" t="b">
        <f t="shared" si="10"/>
        <v>0</v>
      </c>
      <c r="AH54" s="463">
        <f t="shared" si="11"/>
        <v>0</v>
      </c>
      <c r="AI54" s="461" t="b">
        <f t="shared" si="12"/>
        <v>0</v>
      </c>
      <c r="AJ54" s="462" t="b">
        <f t="shared" si="13"/>
        <v>0</v>
      </c>
      <c r="AK54" s="463">
        <f t="shared" si="14"/>
        <v>0</v>
      </c>
    </row>
    <row r="55" spans="1:37" ht="13.5" thickBot="1" x14ac:dyDescent="0.25">
      <c r="K55" s="5" t="s">
        <v>82</v>
      </c>
      <c r="L55" s="47" t="str">
        <f>IF(M58&gt;3,SUM(L16:L54)-V55,"Please fill in")</f>
        <v>Please fill in</v>
      </c>
      <c r="M55" s="54"/>
      <c r="N55" s="154">
        <f>COUNTIF(N17:N54,"x")</f>
        <v>0</v>
      </c>
      <c r="Q55" s="696">
        <f>SUM(Q17:T54)</f>
        <v>0</v>
      </c>
      <c r="R55" s="696"/>
      <c r="S55" s="696"/>
      <c r="T55" s="696"/>
      <c r="U55" s="163">
        <f>SUM(U17:U54)+X55</f>
        <v>0</v>
      </c>
      <c r="V55" s="163">
        <f ca="1">SUM(V17:V54)</f>
        <v>0</v>
      </c>
      <c r="W55" s="163">
        <f>COUNTA(W17:W54)</f>
        <v>1</v>
      </c>
      <c r="X55" s="163">
        <f>SUM(X17:X54)</f>
        <v>0</v>
      </c>
      <c r="Y55" s="206">
        <f>SUM(Y17:Y54)</f>
        <v>0</v>
      </c>
      <c r="AE55" s="472">
        <f>SUM(AE17:AE54)</f>
        <v>0</v>
      </c>
      <c r="AK55" s="472">
        <f>SUM(AK17:AK54)</f>
        <v>0</v>
      </c>
    </row>
    <row r="56" spans="1:37" ht="13.5" customHeight="1" thickTop="1" x14ac:dyDescent="0.2">
      <c r="A56" s="675" t="str">
        <f>IF(L57&gt;0,"DON’T FORGET TO ATTACH YOUR RECEIPT DOCUMENTATION TO THE EMAIL","")</f>
        <v/>
      </c>
      <c r="B56" s="675"/>
      <c r="C56" s="675"/>
      <c r="D56" s="675"/>
      <c r="E56" s="675"/>
      <c r="F56" s="697" t="str">
        <f>IF(AK55&gt;0,"Please provide the name of donor(s).","")</f>
        <v/>
      </c>
      <c r="G56" s="697"/>
      <c r="H56" s="697"/>
      <c r="K56" s="5" t="s">
        <v>53</v>
      </c>
      <c r="L56" s="47" t="str">
        <f>IF(M58&gt;3,'Meals-Donor'!D47,"the yellow")</f>
        <v>the yellow</v>
      </c>
      <c r="M56" s="54"/>
      <c r="N56" s="54"/>
    </row>
    <row r="57" spans="1:37" ht="12.75" customHeight="1" x14ac:dyDescent="0.2">
      <c r="A57" s="675"/>
      <c r="B57" s="675"/>
      <c r="C57" s="675"/>
      <c r="D57" s="675"/>
      <c r="E57" s="675"/>
      <c r="F57" s="697"/>
      <c r="G57" s="697"/>
      <c r="H57" s="697"/>
      <c r="K57" s="396" t="s">
        <v>1652</v>
      </c>
      <c r="L57" s="89">
        <f>IF(FundCode&lt;&gt;500,COUNT(L16:L50),IF(M58&gt;3,SUM(O16:O54),"spaces on"))</f>
        <v>0</v>
      </c>
      <c r="M57" s="54"/>
      <c r="N57" s="54"/>
    </row>
    <row r="58" spans="1:37" ht="12.75" customHeight="1" x14ac:dyDescent="0.2">
      <c r="A58" s="675"/>
      <c r="B58" s="675"/>
      <c r="C58" s="675"/>
      <c r="D58" s="675"/>
      <c r="E58" s="675"/>
      <c r="F58" s="697"/>
      <c r="G58" s="697"/>
      <c r="H58" s="697"/>
      <c r="L58" s="285" t="str">
        <f>IF(L55="please fill in","spaces on","")</f>
        <v>spaces on</v>
      </c>
      <c r="M58" s="224">
        <f>Summary!O12</f>
        <v>1</v>
      </c>
    </row>
    <row r="59" spans="1:37" ht="12.75" customHeight="1" x14ac:dyDescent="0.2">
      <c r="A59" s="675"/>
      <c r="B59" s="675"/>
      <c r="C59" s="675"/>
      <c r="D59" s="675"/>
      <c r="E59" s="675"/>
      <c r="F59" s="697"/>
      <c r="G59" s="697"/>
      <c r="H59" s="697"/>
      <c r="K59" s="11" t="s">
        <v>46</v>
      </c>
      <c r="L59" s="48" t="str">
        <f>IF(M58&gt;3,L55+L56+U55,"summary page")</f>
        <v>summary page</v>
      </c>
      <c r="M59" s="62"/>
      <c r="N59" s="62"/>
    </row>
  </sheetData>
  <sheetProtection algorithmName="SHA-512" hashValue="nb4In34ooTXM3agTFynUFajcMPKLLp+ljAoTIPcqyOIDGThPJBmsRTL9Di06bkk7WvBQhh9JMPyITsg7lDIzXg==" saltValue="u7SOOuel2LsVh1FmBpE7nw==" spinCount="100000" sheet="1" objects="1" scenarios="1"/>
  <mergeCells count="186">
    <mergeCell ref="AI15:AJ15"/>
    <mergeCell ref="A56:E59"/>
    <mergeCell ref="F56:H59"/>
    <mergeCell ref="B51:D51"/>
    <mergeCell ref="E51:G51"/>
    <mergeCell ref="B54:D54"/>
    <mergeCell ref="E54:G54"/>
    <mergeCell ref="H54:K54"/>
    <mergeCell ref="B52:D52"/>
    <mergeCell ref="B45:D45"/>
    <mergeCell ref="E45:G45"/>
    <mergeCell ref="H45:K45"/>
    <mergeCell ref="B48:D48"/>
    <mergeCell ref="E48:G48"/>
    <mergeCell ref="H48:K48"/>
    <mergeCell ref="E52:G52"/>
    <mergeCell ref="E53:G53"/>
    <mergeCell ref="H53:K53"/>
    <mergeCell ref="H51:K51"/>
    <mergeCell ref="E50:G50"/>
    <mergeCell ref="B50:D50"/>
    <mergeCell ref="H50:K50"/>
    <mergeCell ref="B53:D53"/>
    <mergeCell ref="H52:K52"/>
    <mergeCell ref="Q55:T55"/>
    <mergeCell ref="V14:V15"/>
    <mergeCell ref="B17:D17"/>
    <mergeCell ref="E17:G17"/>
    <mergeCell ref="H17:K17"/>
    <mergeCell ref="B19:D19"/>
    <mergeCell ref="B18:D18"/>
    <mergeCell ref="Q44:T44"/>
    <mergeCell ref="Q45:T45"/>
    <mergeCell ref="Q46:T46"/>
    <mergeCell ref="Q40:T40"/>
    <mergeCell ref="Q41:T41"/>
    <mergeCell ref="Q43:T43"/>
    <mergeCell ref="B43:D43"/>
    <mergeCell ref="E43:G43"/>
    <mergeCell ref="H43:K43"/>
    <mergeCell ref="B41:D41"/>
    <mergeCell ref="E41:G41"/>
    <mergeCell ref="H41:K41"/>
    <mergeCell ref="B39:D39"/>
    <mergeCell ref="E39:G39"/>
    <mergeCell ref="H39:K39"/>
    <mergeCell ref="H49:K49"/>
    <mergeCell ref="E46:G46"/>
    <mergeCell ref="H46:K46"/>
    <mergeCell ref="B47:D47"/>
    <mergeCell ref="E47:G47"/>
    <mergeCell ref="H47:K47"/>
    <mergeCell ref="B46:D46"/>
    <mergeCell ref="B42:D42"/>
    <mergeCell ref="B44:D44"/>
    <mergeCell ref="E44:G44"/>
    <mergeCell ref="H44:K44"/>
    <mergeCell ref="B49:D49"/>
    <mergeCell ref="E49:G49"/>
    <mergeCell ref="B21:D21"/>
    <mergeCell ref="E21:G21"/>
    <mergeCell ref="H21:K21"/>
    <mergeCell ref="B23:D23"/>
    <mergeCell ref="E23:G23"/>
    <mergeCell ref="H23:K23"/>
    <mergeCell ref="B26:D26"/>
    <mergeCell ref="E26:G26"/>
    <mergeCell ref="E22:G22"/>
    <mergeCell ref="H22:K22"/>
    <mergeCell ref="E42:G42"/>
    <mergeCell ref="H42:K42"/>
    <mergeCell ref="B37:D37"/>
    <mergeCell ref="B38:D38"/>
    <mergeCell ref="E38:G38"/>
    <mergeCell ref="H38:K38"/>
    <mergeCell ref="B33:D33"/>
    <mergeCell ref="B36:D36"/>
    <mergeCell ref="B34:D34"/>
    <mergeCell ref="H40:K40"/>
    <mergeCell ref="B40:D40"/>
    <mergeCell ref="E40:G40"/>
    <mergeCell ref="Q37:T37"/>
    <mergeCell ref="E37:G37"/>
    <mergeCell ref="H37:K37"/>
    <mergeCell ref="E33:G33"/>
    <mergeCell ref="E34:G34"/>
    <mergeCell ref="H34:K34"/>
    <mergeCell ref="E36:G36"/>
    <mergeCell ref="H36:K36"/>
    <mergeCell ref="E31:G31"/>
    <mergeCell ref="H31:K31"/>
    <mergeCell ref="E32:G32"/>
    <mergeCell ref="H32:K32"/>
    <mergeCell ref="E35:G35"/>
    <mergeCell ref="H35:K35"/>
    <mergeCell ref="H33:K33"/>
    <mergeCell ref="B25:D25"/>
    <mergeCell ref="E25:G25"/>
    <mergeCell ref="H25:K25"/>
    <mergeCell ref="B24:D24"/>
    <mergeCell ref="B22:D22"/>
    <mergeCell ref="Q33:T33"/>
    <mergeCell ref="Q34:T34"/>
    <mergeCell ref="Q35:T35"/>
    <mergeCell ref="Q36:T36"/>
    <mergeCell ref="Q30:T30"/>
    <mergeCell ref="Q31:T31"/>
    <mergeCell ref="Q32:T32"/>
    <mergeCell ref="B35:D35"/>
    <mergeCell ref="H30:K30"/>
    <mergeCell ref="H26:K26"/>
    <mergeCell ref="B27:D27"/>
    <mergeCell ref="B31:D31"/>
    <mergeCell ref="B32:D32"/>
    <mergeCell ref="B28:D28"/>
    <mergeCell ref="E28:G28"/>
    <mergeCell ref="H28:K28"/>
    <mergeCell ref="B29:D29"/>
    <mergeCell ref="E29:G29"/>
    <mergeCell ref="H29:K29"/>
    <mergeCell ref="B30:D30"/>
    <mergeCell ref="E30:G30"/>
    <mergeCell ref="E27:G27"/>
    <mergeCell ref="H27:K27"/>
    <mergeCell ref="Q53:T53"/>
    <mergeCell ref="Q54:T54"/>
    <mergeCell ref="Q15:T15"/>
    <mergeCell ref="U14:U15"/>
    <mergeCell ref="Q17:T17"/>
    <mergeCell ref="Q18:T18"/>
    <mergeCell ref="Q19:T19"/>
    <mergeCell ref="Q20:T20"/>
    <mergeCell ref="Q21:T21"/>
    <mergeCell ref="Q51:T51"/>
    <mergeCell ref="Q42:T42"/>
    <mergeCell ref="Q38:T38"/>
    <mergeCell ref="Q39:T39"/>
    <mergeCell ref="Q47:T47"/>
    <mergeCell ref="Q48:T48"/>
    <mergeCell ref="Q49:T49"/>
    <mergeCell ref="Q52:T52"/>
    <mergeCell ref="P14:T14"/>
    <mergeCell ref="Q50:T50"/>
    <mergeCell ref="Q22:T22"/>
    <mergeCell ref="Q26:T26"/>
    <mergeCell ref="Q27:T27"/>
    <mergeCell ref="Q28:T28"/>
    <mergeCell ref="Q29:T29"/>
    <mergeCell ref="Q25:T25"/>
    <mergeCell ref="G10:I10"/>
    <mergeCell ref="G11:I11"/>
    <mergeCell ref="G12:I12"/>
    <mergeCell ref="J7:L7"/>
    <mergeCell ref="J8:L8"/>
    <mergeCell ref="J9:L9"/>
    <mergeCell ref="J10:L10"/>
    <mergeCell ref="J11:L11"/>
    <mergeCell ref="J12:L12"/>
    <mergeCell ref="G7:I7"/>
    <mergeCell ref="G8:I8"/>
    <mergeCell ref="G9:I9"/>
    <mergeCell ref="H15:K15"/>
    <mergeCell ref="H16:K16"/>
    <mergeCell ref="Q23:T23"/>
    <mergeCell ref="E24:G24"/>
    <mergeCell ref="H24:K24"/>
    <mergeCell ref="Q24:T24"/>
    <mergeCell ref="E16:G16"/>
    <mergeCell ref="H20:K20"/>
    <mergeCell ref="B14:D14"/>
    <mergeCell ref="B16:D16"/>
    <mergeCell ref="B15:D15"/>
    <mergeCell ref="E15:G15"/>
    <mergeCell ref="H14:K14"/>
    <mergeCell ref="E20:G20"/>
    <mergeCell ref="AF15:AG15"/>
    <mergeCell ref="A1:E1"/>
    <mergeCell ref="A7:E7"/>
    <mergeCell ref="A8:E12"/>
    <mergeCell ref="Y14:Y15"/>
    <mergeCell ref="W14:W15"/>
    <mergeCell ref="E18:G18"/>
    <mergeCell ref="H18:K18"/>
    <mergeCell ref="E19:G19"/>
    <mergeCell ref="H19:K19"/>
    <mergeCell ref="B20:D20"/>
  </mergeCells>
  <phoneticPr fontId="0" type="noConversion"/>
  <conditionalFormatting sqref="L55:L57 L59">
    <cfRule type="expression" dxfId="268" priority="122">
      <formula>$M$58&lt;4</formula>
    </cfRule>
  </conditionalFormatting>
  <conditionalFormatting sqref="A17:L17">
    <cfRule type="expression" dxfId="267" priority="5">
      <formula>$M17="disallow"</formula>
    </cfRule>
    <cfRule type="expression" dxfId="266" priority="12">
      <formula>$AE17&gt;0</formula>
    </cfRule>
    <cfRule type="expression" dxfId="265" priority="15">
      <formula>$AH17&gt;0</formula>
    </cfRule>
    <cfRule type="expression" dxfId="264" priority="16">
      <formula>AND($M17="disallow",$W$17="")</formula>
    </cfRule>
  </conditionalFormatting>
  <conditionalFormatting sqref="G6:K6">
    <cfRule type="expression" dxfId="263" priority="7">
      <formula>$AE$55&gt;0</formula>
    </cfRule>
  </conditionalFormatting>
  <conditionalFormatting sqref="G5:J5">
    <cfRule type="expression" dxfId="262" priority="6">
      <formula>$M$15&gt;0</formula>
    </cfRule>
  </conditionalFormatting>
  <conditionalFormatting sqref="A18:L54">
    <cfRule type="expression" dxfId="261" priority="1">
      <formula>$M18="disallow"</formula>
    </cfRule>
    <cfRule type="expression" dxfId="260" priority="2">
      <formula>$AE18&gt;0</formula>
    </cfRule>
    <cfRule type="expression" dxfId="259" priority="3">
      <formula>$AH18&gt;0</formula>
    </cfRule>
    <cfRule type="expression" dxfId="258" priority="4">
      <formula>AND($M18="disallow",$W$17="")</formula>
    </cfRule>
  </conditionalFormatting>
  <dataValidations count="1">
    <dataValidation type="date" operator="greaterThan" allowBlank="1" showInputMessage="1" showErrorMessage="1" promptTitle="date format" prompt="Please use date format mm/dd/yy" sqref="A17:A54" xr:uid="{00000000-0002-0000-0600-000000000000}">
      <formula1>40909</formula1>
    </dataValidation>
  </dataValidations>
  <pageMargins left="0.25" right="0.25" top="0.25" bottom="0.25" header="0.25" footer="0"/>
  <pageSetup scale="70" orientation="landscape" r:id="rId1"/>
  <headerFooter alignWithMargins="0">
    <oddHeader xml:space="preserve">&amp;L&amp;"Arial,Bold"&amp;14Donor Care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92D050"/>
    <pageSetUpPr fitToPage="1"/>
  </sheetPr>
  <dimension ref="A1:AC47"/>
  <sheetViews>
    <sheetView view="pageBreakPreview" topLeftCell="A7" zoomScale="75" zoomScaleNormal="100" zoomScaleSheetLayoutView="75" workbookViewId="0">
      <selection activeCell="A13" sqref="A13"/>
    </sheetView>
  </sheetViews>
  <sheetFormatPr defaultRowHeight="12.75" outlineLevelCol="1" x14ac:dyDescent="0.2"/>
  <cols>
    <col min="1" max="1" width="12.85546875" style="12" customWidth="1"/>
    <col min="2" max="3" width="12.85546875" customWidth="1"/>
    <col min="4" max="4" width="12.7109375" customWidth="1"/>
    <col min="5" max="5" width="20.5703125" customWidth="1"/>
    <col min="6" max="6" width="29" customWidth="1"/>
    <col min="7" max="7" width="8.140625" customWidth="1"/>
    <col min="12" max="13" width="10.5703125" customWidth="1"/>
    <col min="26" max="28" width="0" hidden="1" customWidth="1" outlineLevel="1"/>
    <col min="29" max="29" width="9.140625" collapsed="1"/>
  </cols>
  <sheetData>
    <row r="1" spans="1:28" x14ac:dyDescent="0.2">
      <c r="A1" s="699" t="s">
        <v>128</v>
      </c>
      <c r="B1" s="700"/>
      <c r="C1" s="652"/>
      <c r="D1" s="654"/>
      <c r="F1" s="11" t="s">
        <v>52</v>
      </c>
    </row>
    <row r="2" spans="1:28" x14ac:dyDescent="0.2">
      <c r="A2" s="701" t="s">
        <v>115</v>
      </c>
      <c r="B2" s="702"/>
      <c r="C2" s="655"/>
      <c r="D2" s="657"/>
      <c r="F2" s="11" t="s">
        <v>681</v>
      </c>
    </row>
    <row r="3" spans="1:28" x14ac:dyDescent="0.2">
      <c r="A3" s="701" t="s">
        <v>133</v>
      </c>
      <c r="B3" s="702"/>
      <c r="C3" s="655"/>
      <c r="D3" s="657"/>
      <c r="F3" s="131" t="s">
        <v>682</v>
      </c>
    </row>
    <row r="4" spans="1:28" x14ac:dyDescent="0.2">
      <c r="A4" s="703"/>
      <c r="B4" s="648"/>
      <c r="C4" s="655"/>
      <c r="D4" s="657"/>
    </row>
    <row r="5" spans="1:28" x14ac:dyDescent="0.2">
      <c r="A5" s="703"/>
      <c r="B5" s="648"/>
      <c r="C5" s="655"/>
      <c r="D5" s="657"/>
      <c r="E5" s="5" t="s">
        <v>81</v>
      </c>
      <c r="F5" s="37" t="str">
        <f>Donor!K1</f>
        <v>Gordy Decker</v>
      </c>
    </row>
    <row r="6" spans="1:28" x14ac:dyDescent="0.2">
      <c r="A6" s="698"/>
      <c r="B6" s="651"/>
      <c r="C6" s="692"/>
      <c r="D6" s="694"/>
      <c r="E6" s="5"/>
      <c r="F6" s="37"/>
    </row>
    <row r="7" spans="1:28" x14ac:dyDescent="0.2">
      <c r="E7" s="5" t="s">
        <v>109</v>
      </c>
      <c r="F7" s="55">
        <f>Donor!K2</f>
        <v>0</v>
      </c>
    </row>
    <row r="9" spans="1:28" ht="15" x14ac:dyDescent="0.25">
      <c r="A9" s="208" t="s">
        <v>1009</v>
      </c>
    </row>
    <row r="10" spans="1:28" x14ac:dyDescent="0.2">
      <c r="I10" s="705" t="s">
        <v>184</v>
      </c>
      <c r="J10" s="706"/>
      <c r="K10" s="706"/>
      <c r="L10" s="706"/>
      <c r="M10" s="707"/>
    </row>
    <row r="11" spans="1:28" ht="27" customHeight="1" x14ac:dyDescent="0.25">
      <c r="A11" s="124" t="s">
        <v>28</v>
      </c>
      <c r="B11" s="708" t="s">
        <v>41</v>
      </c>
      <c r="C11" s="709"/>
      <c r="D11" s="710"/>
      <c r="E11" s="711" t="s">
        <v>29</v>
      </c>
      <c r="F11" s="713" t="s">
        <v>284</v>
      </c>
      <c r="I11" s="715" t="s">
        <v>179</v>
      </c>
      <c r="J11" s="715"/>
      <c r="K11" s="715"/>
      <c r="L11" s="715"/>
      <c r="Q11" s="723" t="s">
        <v>509</v>
      </c>
      <c r="R11" s="719"/>
      <c r="S11" s="719"/>
      <c r="T11" s="719"/>
      <c r="U11" s="665" t="s">
        <v>664</v>
      </c>
      <c r="V11" s="718" t="s">
        <v>665</v>
      </c>
      <c r="W11" s="719"/>
      <c r="X11" s="719"/>
    </row>
    <row r="12" spans="1:28" ht="15.95" customHeight="1" x14ac:dyDescent="0.2">
      <c r="A12" s="125" t="s">
        <v>104</v>
      </c>
      <c r="B12" s="13" t="s">
        <v>38</v>
      </c>
      <c r="C12" s="13" t="s">
        <v>39</v>
      </c>
      <c r="D12" s="13" t="s">
        <v>40</v>
      </c>
      <c r="E12" s="712"/>
      <c r="F12" s="714"/>
      <c r="H12" s="191" t="s">
        <v>510</v>
      </c>
      <c r="I12" s="191" t="s">
        <v>185</v>
      </c>
      <c r="J12" s="191" t="s">
        <v>180</v>
      </c>
      <c r="K12" s="191" t="s">
        <v>181</v>
      </c>
      <c r="L12" s="191" t="s">
        <v>290</v>
      </c>
      <c r="M12" s="190"/>
      <c r="N12" s="720" t="s">
        <v>289</v>
      </c>
      <c r="O12" s="721"/>
      <c r="P12" s="722"/>
      <c r="Q12" s="141" t="s">
        <v>286</v>
      </c>
      <c r="R12" s="191" t="s">
        <v>185</v>
      </c>
      <c r="S12" s="191" t="s">
        <v>180</v>
      </c>
      <c r="T12" s="191" t="s">
        <v>181</v>
      </c>
      <c r="U12" s="666"/>
      <c r="V12" s="191" t="s">
        <v>185</v>
      </c>
      <c r="W12" s="191" t="s">
        <v>180</v>
      </c>
      <c r="X12" s="191" t="s">
        <v>181</v>
      </c>
      <c r="Z12" s="473" t="s">
        <v>1662</v>
      </c>
      <c r="AA12" s="474" t="s">
        <v>1664</v>
      </c>
      <c r="AB12" s="458"/>
    </row>
    <row r="13" spans="1:28" ht="15.95" customHeight="1" x14ac:dyDescent="0.2">
      <c r="A13" s="276"/>
      <c r="B13" s="302"/>
      <c r="C13" s="302"/>
      <c r="D13" s="302"/>
      <c r="E13" s="498"/>
      <c r="F13" s="498"/>
      <c r="G13" s="54" t="str">
        <f t="shared" ref="G13:G43" ca="1" si="0">IF(A13&gt;0,IF(submit_date&gt;0,IF(submit_date-A13&gt;60,"disallow"," "),IF(TODAY()-A13&gt;60,"disallow"," ")),"")</f>
        <v/>
      </c>
      <c r="H13" s="141"/>
      <c r="I13" s="141"/>
      <c r="J13" s="141"/>
      <c r="K13" s="141"/>
      <c r="L13" s="704" t="s">
        <v>160</v>
      </c>
      <c r="M13" s="704"/>
      <c r="N13" s="141">
        <f ca="1">IF(AND($G13="disallow",Q$13=0),B13,0)</f>
        <v>0</v>
      </c>
      <c r="O13" s="141">
        <f ca="1">IF(AND($G13="disallow",Q$13=0),C13,0)</f>
        <v>0</v>
      </c>
      <c r="P13" s="141">
        <f ca="1">IF(AND($G13="disallow",Q$13=0),D13,0)</f>
        <v>0</v>
      </c>
      <c r="Q13" s="141"/>
      <c r="R13" s="141">
        <f>IF($Q13&gt;0,I13,0)</f>
        <v>0</v>
      </c>
      <c r="S13" s="141">
        <f>IF($Q13&gt;0,J13,0)</f>
        <v>0</v>
      </c>
      <c r="T13" s="141">
        <f>IF($Q13&gt;0,K13,0)</f>
        <v>0</v>
      </c>
      <c r="U13" s="166">
        <f t="shared" ref="U13:U43" si="1">IF(AND(A13&lt;Fiscal_Start_Date,submit_date-A13&lt;90,submit_date&gt;=Fiscal_Start_Date),B13*$B$45+C13*$C$45+D13*$D$45,0)</f>
        <v>0</v>
      </c>
      <c r="V13" s="141">
        <f>IF($B13&gt;7,$B13-7,0)</f>
        <v>0</v>
      </c>
      <c r="W13" s="141">
        <f>IF($C13&gt;7,$C13-7,0)</f>
        <v>0</v>
      </c>
      <c r="X13" s="141">
        <f>IF($D13&gt;7,$D13-7,0)</f>
        <v>0</v>
      </c>
      <c r="Z13" s="460" t="b">
        <f>SUMPRODUCT(--ISNUMBER(SEARCH(Z$12,$E13:$F13)))&gt;0</f>
        <v>0</v>
      </c>
      <c r="AA13" s="257" t="b">
        <f>SUMPRODUCT(--ISNUMBER(SEARCH(AA$12,$E14:$F14)))&gt;0</f>
        <v>0</v>
      </c>
      <c r="AB13" s="459">
        <f>COUNTIF(Z13:AA13,"True")</f>
        <v>0</v>
      </c>
    </row>
    <row r="14" spans="1:28" ht="15.95" customHeight="1" x14ac:dyDescent="0.2">
      <c r="A14" s="276"/>
      <c r="B14" s="302"/>
      <c r="C14" s="302"/>
      <c r="D14" s="302"/>
      <c r="E14" s="499"/>
      <c r="F14" s="499"/>
      <c r="G14" s="54" t="str">
        <f t="shared" ca="1" si="0"/>
        <v/>
      </c>
      <c r="H14" s="141"/>
      <c r="I14" s="141"/>
      <c r="J14" s="141"/>
      <c r="K14" s="141"/>
      <c r="L14" s="704" t="s">
        <v>160</v>
      </c>
      <c r="M14" s="704"/>
      <c r="N14" s="141">
        <f t="shared" ref="N14:N43" ca="1" si="2">IF(AND($G14="disallow",Q$13=0),B14,0)</f>
        <v>0</v>
      </c>
      <c r="O14" s="141">
        <f t="shared" ref="O14:O43" ca="1" si="3">IF(AND($G14="disallow",Q$13=0),C14,0)</f>
        <v>0</v>
      </c>
      <c r="P14" s="141">
        <f t="shared" ref="P14:P43" ca="1" si="4">IF(AND($G14="disallow",Q$13=0),D14,0)</f>
        <v>0</v>
      </c>
      <c r="Q14" s="141"/>
      <c r="R14" s="141">
        <f t="shared" ref="R14:R43" si="5">IF($Q14&gt;0,I14,0)</f>
        <v>0</v>
      </c>
      <c r="S14" s="141">
        <f t="shared" ref="S14:S43" si="6">IF($Q14&gt;0,J14,0)</f>
        <v>0</v>
      </c>
      <c r="T14" s="141">
        <f t="shared" ref="T14:T43" si="7">IF($Q14&gt;0,K14,0)</f>
        <v>0</v>
      </c>
      <c r="U14" s="166">
        <f t="shared" si="1"/>
        <v>0</v>
      </c>
      <c r="V14" s="141">
        <f t="shared" ref="V14:V43" si="8">IF($B14&gt;7,$B14-7,0)</f>
        <v>0</v>
      </c>
      <c r="W14" s="141">
        <f t="shared" ref="W14:W43" si="9">IF($C14&gt;7,$C14-7,0)</f>
        <v>0</v>
      </c>
      <c r="X14" s="141">
        <f t="shared" ref="X14:X43" si="10">IF($D14&gt;7,$D14-7,0)</f>
        <v>0</v>
      </c>
      <c r="Z14" s="460" t="b">
        <f t="shared" ref="Z14:Z42" si="11">SUMPRODUCT(--ISNUMBER(SEARCH(Z$12,$E14:$F14)))&gt;0</f>
        <v>0</v>
      </c>
      <c r="AA14" s="257" t="b">
        <f t="shared" ref="AA14:AA41" si="12">SUMPRODUCT(--ISNUMBER(SEARCH(AA$12,$E15:$F15)))&gt;0</f>
        <v>0</v>
      </c>
      <c r="AB14" s="459">
        <f t="shared" ref="AB14:AB42" si="13">COUNTIF(Z14:AA14,"True")</f>
        <v>0</v>
      </c>
    </row>
    <row r="15" spans="1:28" ht="15.95" customHeight="1" x14ac:dyDescent="0.2">
      <c r="A15" s="276"/>
      <c r="B15" s="302"/>
      <c r="C15" s="302"/>
      <c r="D15" s="302"/>
      <c r="E15" s="498"/>
      <c r="F15" s="498"/>
      <c r="G15" s="54" t="str">
        <f t="shared" ca="1" si="0"/>
        <v/>
      </c>
      <c r="H15" s="141"/>
      <c r="I15" s="141"/>
      <c r="J15" s="141"/>
      <c r="K15" s="141"/>
      <c r="L15" s="704" t="s">
        <v>160</v>
      </c>
      <c r="M15" s="704"/>
      <c r="N15" s="141">
        <f t="shared" ca="1" si="2"/>
        <v>0</v>
      </c>
      <c r="O15" s="141">
        <f t="shared" ca="1" si="3"/>
        <v>0</v>
      </c>
      <c r="P15" s="141">
        <f t="shared" ca="1" si="4"/>
        <v>0</v>
      </c>
      <c r="Q15" s="141"/>
      <c r="R15" s="141">
        <f t="shared" si="5"/>
        <v>0</v>
      </c>
      <c r="S15" s="141">
        <f t="shared" si="6"/>
        <v>0</v>
      </c>
      <c r="T15" s="141">
        <f t="shared" si="7"/>
        <v>0</v>
      </c>
      <c r="U15" s="166">
        <f t="shared" si="1"/>
        <v>0</v>
      </c>
      <c r="V15" s="141">
        <f t="shared" si="8"/>
        <v>0</v>
      </c>
      <c r="W15" s="141">
        <f t="shared" si="9"/>
        <v>0</v>
      </c>
      <c r="X15" s="141">
        <f t="shared" si="10"/>
        <v>0</v>
      </c>
      <c r="Z15" s="460" t="b">
        <f t="shared" si="11"/>
        <v>0</v>
      </c>
      <c r="AA15" s="257" t="b">
        <f t="shared" si="12"/>
        <v>0</v>
      </c>
      <c r="AB15" s="459">
        <f t="shared" si="13"/>
        <v>0</v>
      </c>
    </row>
    <row r="16" spans="1:28" ht="15.95" customHeight="1" x14ac:dyDescent="0.2">
      <c r="A16" s="276"/>
      <c r="B16" s="302"/>
      <c r="C16" s="302"/>
      <c r="D16" s="302"/>
      <c r="E16" s="498"/>
      <c r="F16" s="498"/>
      <c r="G16" s="54" t="str">
        <f t="shared" ca="1" si="0"/>
        <v/>
      </c>
      <c r="H16" s="141"/>
      <c r="I16" s="141"/>
      <c r="J16" s="141"/>
      <c r="K16" s="141"/>
      <c r="L16" s="704" t="s">
        <v>160</v>
      </c>
      <c r="M16" s="704"/>
      <c r="N16" s="141">
        <f t="shared" ca="1" si="2"/>
        <v>0</v>
      </c>
      <c r="O16" s="141">
        <f t="shared" ca="1" si="3"/>
        <v>0</v>
      </c>
      <c r="P16" s="141">
        <f t="shared" ca="1" si="4"/>
        <v>0</v>
      </c>
      <c r="Q16" s="141"/>
      <c r="R16" s="141">
        <f t="shared" si="5"/>
        <v>0</v>
      </c>
      <c r="S16" s="141">
        <f t="shared" si="6"/>
        <v>0</v>
      </c>
      <c r="T16" s="141">
        <f t="shared" si="7"/>
        <v>0</v>
      </c>
      <c r="U16" s="166">
        <f t="shared" si="1"/>
        <v>0</v>
      </c>
      <c r="V16" s="141">
        <f t="shared" si="8"/>
        <v>0</v>
      </c>
      <c r="W16" s="141">
        <f t="shared" si="9"/>
        <v>0</v>
      </c>
      <c r="X16" s="141">
        <f t="shared" si="10"/>
        <v>0</v>
      </c>
      <c r="Z16" s="460" t="b">
        <f t="shared" si="11"/>
        <v>0</v>
      </c>
      <c r="AA16" s="257" t="b">
        <f t="shared" si="12"/>
        <v>0</v>
      </c>
      <c r="AB16" s="459">
        <f t="shared" si="13"/>
        <v>0</v>
      </c>
    </row>
    <row r="17" spans="1:28" ht="15.95" customHeight="1" x14ac:dyDescent="0.2">
      <c r="A17" s="276"/>
      <c r="B17" s="302"/>
      <c r="C17" s="302"/>
      <c r="D17" s="302"/>
      <c r="E17" s="498"/>
      <c r="F17" s="498"/>
      <c r="G17" s="54" t="str">
        <f t="shared" ca="1" si="0"/>
        <v/>
      </c>
      <c r="H17" s="141"/>
      <c r="I17" s="141"/>
      <c r="J17" s="141"/>
      <c r="K17" s="141"/>
      <c r="L17" s="704" t="s">
        <v>160</v>
      </c>
      <c r="M17" s="704"/>
      <c r="N17" s="141">
        <f t="shared" ca="1" si="2"/>
        <v>0</v>
      </c>
      <c r="O17" s="141">
        <f t="shared" ca="1" si="3"/>
        <v>0</v>
      </c>
      <c r="P17" s="141">
        <f t="shared" ca="1" si="4"/>
        <v>0</v>
      </c>
      <c r="Q17" s="141"/>
      <c r="R17" s="141">
        <f t="shared" si="5"/>
        <v>0</v>
      </c>
      <c r="S17" s="141">
        <f t="shared" si="6"/>
        <v>0</v>
      </c>
      <c r="T17" s="141">
        <f t="shared" si="7"/>
        <v>0</v>
      </c>
      <c r="U17" s="166">
        <f t="shared" si="1"/>
        <v>0</v>
      </c>
      <c r="V17" s="141">
        <f t="shared" si="8"/>
        <v>0</v>
      </c>
      <c r="W17" s="141">
        <f t="shared" si="9"/>
        <v>0</v>
      </c>
      <c r="X17" s="141">
        <f t="shared" si="10"/>
        <v>0</v>
      </c>
      <c r="Z17" s="460" t="b">
        <f t="shared" si="11"/>
        <v>0</v>
      </c>
      <c r="AA17" s="257" t="b">
        <f t="shared" si="12"/>
        <v>0</v>
      </c>
      <c r="AB17" s="459">
        <f t="shared" si="13"/>
        <v>0</v>
      </c>
    </row>
    <row r="18" spans="1:28" ht="15.95" customHeight="1" x14ac:dyDescent="0.2">
      <c r="A18" s="276"/>
      <c r="B18" s="302"/>
      <c r="C18" s="302"/>
      <c r="D18" s="302"/>
      <c r="E18" s="498"/>
      <c r="F18" s="498"/>
      <c r="G18" s="54" t="str">
        <f t="shared" ca="1" si="0"/>
        <v/>
      </c>
      <c r="H18" s="141"/>
      <c r="I18" s="141"/>
      <c r="J18" s="141"/>
      <c r="K18" s="141"/>
      <c r="L18" s="704" t="s">
        <v>160</v>
      </c>
      <c r="M18" s="704"/>
      <c r="N18" s="141">
        <f t="shared" ca="1" si="2"/>
        <v>0</v>
      </c>
      <c r="O18" s="141">
        <f t="shared" ca="1" si="3"/>
        <v>0</v>
      </c>
      <c r="P18" s="141">
        <f t="shared" ca="1" si="4"/>
        <v>0</v>
      </c>
      <c r="Q18" s="141"/>
      <c r="R18" s="141">
        <f t="shared" si="5"/>
        <v>0</v>
      </c>
      <c r="S18" s="141">
        <f t="shared" si="6"/>
        <v>0</v>
      </c>
      <c r="T18" s="141">
        <f t="shared" si="7"/>
        <v>0</v>
      </c>
      <c r="U18" s="166">
        <f t="shared" si="1"/>
        <v>0</v>
      </c>
      <c r="V18" s="141">
        <f t="shared" si="8"/>
        <v>0</v>
      </c>
      <c r="W18" s="141">
        <f t="shared" si="9"/>
        <v>0</v>
      </c>
      <c r="X18" s="141">
        <f t="shared" si="10"/>
        <v>0</v>
      </c>
      <c r="Z18" s="460" t="b">
        <f t="shared" si="11"/>
        <v>0</v>
      </c>
      <c r="AA18" s="257" t="b">
        <f t="shared" si="12"/>
        <v>0</v>
      </c>
      <c r="AB18" s="459">
        <f t="shared" si="13"/>
        <v>0</v>
      </c>
    </row>
    <row r="19" spans="1:28" ht="15.95" customHeight="1" x14ac:dyDescent="0.2">
      <c r="A19" s="276"/>
      <c r="B19" s="302"/>
      <c r="C19" s="302"/>
      <c r="D19" s="302"/>
      <c r="E19" s="498"/>
      <c r="F19" s="498"/>
      <c r="G19" s="54" t="str">
        <f t="shared" ca="1" si="0"/>
        <v/>
      </c>
      <c r="H19" s="141"/>
      <c r="I19" s="141"/>
      <c r="J19" s="141"/>
      <c r="K19" s="141"/>
      <c r="L19" s="704" t="s">
        <v>160</v>
      </c>
      <c r="M19" s="704"/>
      <c r="N19" s="141">
        <f t="shared" ca="1" si="2"/>
        <v>0</v>
      </c>
      <c r="O19" s="141">
        <f t="shared" ca="1" si="3"/>
        <v>0</v>
      </c>
      <c r="P19" s="141">
        <f t="shared" ca="1" si="4"/>
        <v>0</v>
      </c>
      <c r="Q19" s="141"/>
      <c r="R19" s="141">
        <f t="shared" si="5"/>
        <v>0</v>
      </c>
      <c r="S19" s="141">
        <f t="shared" si="6"/>
        <v>0</v>
      </c>
      <c r="T19" s="141">
        <f t="shared" si="7"/>
        <v>0</v>
      </c>
      <c r="U19" s="166">
        <f t="shared" si="1"/>
        <v>0</v>
      </c>
      <c r="V19" s="141">
        <f t="shared" si="8"/>
        <v>0</v>
      </c>
      <c r="W19" s="141">
        <f t="shared" si="9"/>
        <v>0</v>
      </c>
      <c r="X19" s="141">
        <f t="shared" si="10"/>
        <v>0</v>
      </c>
      <c r="Z19" s="460" t="b">
        <f t="shared" si="11"/>
        <v>0</v>
      </c>
      <c r="AA19" s="257" t="b">
        <f t="shared" si="12"/>
        <v>0</v>
      </c>
      <c r="AB19" s="459">
        <f t="shared" si="13"/>
        <v>0</v>
      </c>
    </row>
    <row r="20" spans="1:28" ht="15.95" customHeight="1" x14ac:dyDescent="0.2">
      <c r="A20" s="276"/>
      <c r="B20" s="302"/>
      <c r="C20" s="302"/>
      <c r="D20" s="302"/>
      <c r="E20" s="498"/>
      <c r="F20" s="498"/>
      <c r="G20" s="54" t="str">
        <f t="shared" ca="1" si="0"/>
        <v/>
      </c>
      <c r="H20" s="141"/>
      <c r="I20" s="141"/>
      <c r="J20" s="141"/>
      <c r="K20" s="141"/>
      <c r="L20" s="704" t="s">
        <v>160</v>
      </c>
      <c r="M20" s="704"/>
      <c r="N20" s="141">
        <f t="shared" ca="1" si="2"/>
        <v>0</v>
      </c>
      <c r="O20" s="141">
        <f t="shared" ca="1" si="3"/>
        <v>0</v>
      </c>
      <c r="P20" s="141">
        <f t="shared" ca="1" si="4"/>
        <v>0</v>
      </c>
      <c r="Q20" s="141"/>
      <c r="R20" s="141">
        <f t="shared" si="5"/>
        <v>0</v>
      </c>
      <c r="S20" s="141">
        <f t="shared" si="6"/>
        <v>0</v>
      </c>
      <c r="T20" s="141">
        <f t="shared" si="7"/>
        <v>0</v>
      </c>
      <c r="U20" s="166">
        <f t="shared" si="1"/>
        <v>0</v>
      </c>
      <c r="V20" s="141">
        <f t="shared" si="8"/>
        <v>0</v>
      </c>
      <c r="W20" s="141">
        <f t="shared" si="9"/>
        <v>0</v>
      </c>
      <c r="X20" s="141">
        <f t="shared" si="10"/>
        <v>0</v>
      </c>
      <c r="Z20" s="460" t="b">
        <f t="shared" si="11"/>
        <v>0</v>
      </c>
      <c r="AA20" s="257" t="b">
        <f t="shared" si="12"/>
        <v>0</v>
      </c>
      <c r="AB20" s="459">
        <f t="shared" si="13"/>
        <v>0</v>
      </c>
    </row>
    <row r="21" spans="1:28" ht="15.95" customHeight="1" x14ac:dyDescent="0.2">
      <c r="A21" s="276"/>
      <c r="B21" s="302"/>
      <c r="C21" s="302"/>
      <c r="D21" s="302"/>
      <c r="E21" s="498"/>
      <c r="F21" s="498"/>
      <c r="G21" s="54" t="str">
        <f t="shared" ca="1" si="0"/>
        <v/>
      </c>
      <c r="H21" s="141"/>
      <c r="I21" s="141"/>
      <c r="J21" s="141"/>
      <c r="K21" s="141"/>
      <c r="L21" s="704" t="s">
        <v>160</v>
      </c>
      <c r="M21" s="704"/>
      <c r="N21" s="141">
        <f ca="1">IF(AND($G21="disallow",Q$13=0),B21,0)</f>
        <v>0</v>
      </c>
      <c r="O21" s="141">
        <f ca="1">IF(AND($G21="disallow",Q$13=0),C21,0)</f>
        <v>0</v>
      </c>
      <c r="P21" s="141">
        <f ca="1">IF(AND($G21="disallow",Q$13=0),D21,0)</f>
        <v>0</v>
      </c>
      <c r="Q21" s="141"/>
      <c r="R21" s="141">
        <f>IF($Q21&gt;0,I21+N21,0)</f>
        <v>0</v>
      </c>
      <c r="S21" s="141">
        <f>IF($Q21&gt;0,J21+O21,0)</f>
        <v>0</v>
      </c>
      <c r="T21" s="141">
        <f>IF($Q21&gt;0,K21+P21,0)</f>
        <v>0</v>
      </c>
      <c r="U21" s="166">
        <f t="shared" si="1"/>
        <v>0</v>
      </c>
      <c r="V21" s="141">
        <f t="shared" si="8"/>
        <v>0</v>
      </c>
      <c r="W21" s="141">
        <f t="shared" si="9"/>
        <v>0</v>
      </c>
      <c r="X21" s="141">
        <f t="shared" si="10"/>
        <v>0</v>
      </c>
      <c r="Z21" s="460" t="b">
        <f t="shared" si="11"/>
        <v>0</v>
      </c>
      <c r="AA21" s="257" t="b">
        <f t="shared" si="12"/>
        <v>0</v>
      </c>
      <c r="AB21" s="459">
        <f t="shared" si="13"/>
        <v>0</v>
      </c>
    </row>
    <row r="22" spans="1:28" ht="15.95" customHeight="1" x14ac:dyDescent="0.2">
      <c r="A22" s="276"/>
      <c r="B22" s="302"/>
      <c r="C22" s="302"/>
      <c r="D22" s="302"/>
      <c r="E22" s="498"/>
      <c r="F22" s="498"/>
      <c r="G22" s="54" t="str">
        <f t="shared" ca="1" si="0"/>
        <v/>
      </c>
      <c r="H22" s="141"/>
      <c r="I22" s="141"/>
      <c r="J22" s="141"/>
      <c r="K22" s="141"/>
      <c r="L22" s="704" t="s">
        <v>663</v>
      </c>
      <c r="M22" s="704"/>
      <c r="N22" s="141">
        <f t="shared" ca="1" si="2"/>
        <v>0</v>
      </c>
      <c r="O22" s="141">
        <f t="shared" ca="1" si="3"/>
        <v>0</v>
      </c>
      <c r="P22" s="141">
        <f t="shared" ca="1" si="4"/>
        <v>0</v>
      </c>
      <c r="Q22" s="141"/>
      <c r="R22" s="141">
        <f t="shared" si="5"/>
        <v>0</v>
      </c>
      <c r="S22" s="141">
        <f t="shared" si="6"/>
        <v>0</v>
      </c>
      <c r="T22" s="141">
        <f t="shared" si="7"/>
        <v>0</v>
      </c>
      <c r="U22" s="166">
        <f t="shared" si="1"/>
        <v>0</v>
      </c>
      <c r="V22" s="141">
        <f t="shared" si="8"/>
        <v>0</v>
      </c>
      <c r="W22" s="141">
        <f t="shared" si="9"/>
        <v>0</v>
      </c>
      <c r="X22" s="141">
        <f t="shared" si="10"/>
        <v>0</v>
      </c>
      <c r="Z22" s="460" t="b">
        <f t="shared" si="11"/>
        <v>0</v>
      </c>
      <c r="AA22" s="257" t="b">
        <f t="shared" si="12"/>
        <v>0</v>
      </c>
      <c r="AB22" s="459">
        <f t="shared" si="13"/>
        <v>0</v>
      </c>
    </row>
    <row r="23" spans="1:28" ht="15.95" customHeight="1" x14ac:dyDescent="0.2">
      <c r="A23" s="276"/>
      <c r="B23" s="302"/>
      <c r="C23" s="302"/>
      <c r="D23" s="302"/>
      <c r="E23" s="498"/>
      <c r="F23" s="498"/>
      <c r="G23" s="54" t="str">
        <f t="shared" ca="1" si="0"/>
        <v/>
      </c>
      <c r="H23" s="141"/>
      <c r="I23" s="141"/>
      <c r="J23" s="141"/>
      <c r="K23" s="141"/>
      <c r="L23" s="704" t="s">
        <v>160</v>
      </c>
      <c r="M23" s="704"/>
      <c r="N23" s="141">
        <f t="shared" ca="1" si="2"/>
        <v>0</v>
      </c>
      <c r="O23" s="141">
        <f t="shared" ca="1" si="3"/>
        <v>0</v>
      </c>
      <c r="P23" s="141">
        <f t="shared" ca="1" si="4"/>
        <v>0</v>
      </c>
      <c r="Q23" s="141"/>
      <c r="R23" s="141">
        <f t="shared" si="5"/>
        <v>0</v>
      </c>
      <c r="S23" s="141">
        <f t="shared" si="6"/>
        <v>0</v>
      </c>
      <c r="T23" s="141">
        <f t="shared" si="7"/>
        <v>0</v>
      </c>
      <c r="U23" s="166">
        <f t="shared" si="1"/>
        <v>0</v>
      </c>
      <c r="V23" s="141">
        <f t="shared" si="8"/>
        <v>0</v>
      </c>
      <c r="W23" s="141">
        <f t="shared" si="9"/>
        <v>0</v>
      </c>
      <c r="X23" s="141">
        <f t="shared" si="10"/>
        <v>0</v>
      </c>
      <c r="Z23" s="460" t="b">
        <f t="shared" si="11"/>
        <v>0</v>
      </c>
      <c r="AA23" s="257" t="b">
        <f t="shared" si="12"/>
        <v>0</v>
      </c>
      <c r="AB23" s="459">
        <f t="shared" si="13"/>
        <v>0</v>
      </c>
    </row>
    <row r="24" spans="1:28" ht="15.95" customHeight="1" x14ac:dyDescent="0.2">
      <c r="A24" s="276"/>
      <c r="B24" s="302"/>
      <c r="C24" s="302"/>
      <c r="D24" s="302"/>
      <c r="E24" s="498"/>
      <c r="F24" s="498"/>
      <c r="G24" s="54" t="str">
        <f t="shared" ca="1" si="0"/>
        <v/>
      </c>
      <c r="H24" s="141"/>
      <c r="I24" s="141"/>
      <c r="J24" s="141"/>
      <c r="K24" s="141"/>
      <c r="L24" s="704" t="s">
        <v>160</v>
      </c>
      <c r="M24" s="704"/>
      <c r="N24" s="141">
        <f t="shared" ca="1" si="2"/>
        <v>0</v>
      </c>
      <c r="O24" s="141">
        <f t="shared" ca="1" si="3"/>
        <v>0</v>
      </c>
      <c r="P24" s="141">
        <f t="shared" ca="1" si="4"/>
        <v>0</v>
      </c>
      <c r="Q24" s="141"/>
      <c r="R24" s="141">
        <f t="shared" si="5"/>
        <v>0</v>
      </c>
      <c r="S24" s="141">
        <f t="shared" si="6"/>
        <v>0</v>
      </c>
      <c r="T24" s="141">
        <f t="shared" si="7"/>
        <v>0</v>
      </c>
      <c r="U24" s="166">
        <f t="shared" si="1"/>
        <v>0</v>
      </c>
      <c r="V24" s="141">
        <f t="shared" si="8"/>
        <v>0</v>
      </c>
      <c r="W24" s="141">
        <f t="shared" si="9"/>
        <v>0</v>
      </c>
      <c r="X24" s="141">
        <f t="shared" si="10"/>
        <v>0</v>
      </c>
      <c r="Z24" s="460" t="b">
        <f t="shared" si="11"/>
        <v>0</v>
      </c>
      <c r="AA24" s="257" t="b">
        <f t="shared" si="12"/>
        <v>0</v>
      </c>
      <c r="AB24" s="459">
        <f t="shared" si="13"/>
        <v>0</v>
      </c>
    </row>
    <row r="25" spans="1:28" ht="15.95" customHeight="1" x14ac:dyDescent="0.2">
      <c r="A25" s="276"/>
      <c r="B25" s="302"/>
      <c r="C25" s="302"/>
      <c r="D25" s="302"/>
      <c r="E25" s="498"/>
      <c r="F25" s="498"/>
      <c r="G25" s="54" t="str">
        <f t="shared" ca="1" si="0"/>
        <v/>
      </c>
      <c r="H25" s="141"/>
      <c r="I25" s="141"/>
      <c r="J25" s="141"/>
      <c r="K25" s="141"/>
      <c r="L25" s="704" t="s">
        <v>160</v>
      </c>
      <c r="M25" s="704"/>
      <c r="N25" s="141">
        <f t="shared" ca="1" si="2"/>
        <v>0</v>
      </c>
      <c r="O25" s="141">
        <f t="shared" ca="1" si="3"/>
        <v>0</v>
      </c>
      <c r="P25" s="141">
        <f t="shared" ca="1" si="4"/>
        <v>0</v>
      </c>
      <c r="Q25" s="141"/>
      <c r="R25" s="141">
        <f t="shared" si="5"/>
        <v>0</v>
      </c>
      <c r="S25" s="141">
        <f t="shared" si="6"/>
        <v>0</v>
      </c>
      <c r="T25" s="141">
        <f t="shared" si="7"/>
        <v>0</v>
      </c>
      <c r="U25" s="166">
        <f t="shared" si="1"/>
        <v>0</v>
      </c>
      <c r="V25" s="141">
        <f t="shared" si="8"/>
        <v>0</v>
      </c>
      <c r="W25" s="141">
        <f t="shared" si="9"/>
        <v>0</v>
      </c>
      <c r="X25" s="141">
        <f t="shared" si="10"/>
        <v>0</v>
      </c>
      <c r="Z25" s="460" t="b">
        <f t="shared" si="11"/>
        <v>0</v>
      </c>
      <c r="AA25" s="257" t="b">
        <f t="shared" si="12"/>
        <v>0</v>
      </c>
      <c r="AB25" s="459">
        <f t="shared" si="13"/>
        <v>0</v>
      </c>
    </row>
    <row r="26" spans="1:28" ht="15.95" customHeight="1" x14ac:dyDescent="0.2">
      <c r="A26" s="276"/>
      <c r="B26" s="302"/>
      <c r="C26" s="302"/>
      <c r="D26" s="302"/>
      <c r="E26" s="499" t="s">
        <v>1663</v>
      </c>
      <c r="F26" s="498"/>
      <c r="G26" s="54" t="str">
        <f t="shared" ca="1" si="0"/>
        <v/>
      </c>
      <c r="H26" s="141"/>
      <c r="I26" s="141"/>
      <c r="J26" s="141"/>
      <c r="K26" s="141"/>
      <c r="L26" s="704" t="s">
        <v>160</v>
      </c>
      <c r="M26" s="704"/>
      <c r="N26" s="141">
        <f t="shared" ca="1" si="2"/>
        <v>0</v>
      </c>
      <c r="O26" s="141">
        <f t="shared" ca="1" si="3"/>
        <v>0</v>
      </c>
      <c r="P26" s="141">
        <f t="shared" ca="1" si="4"/>
        <v>0</v>
      </c>
      <c r="Q26" s="141"/>
      <c r="R26" s="141">
        <f t="shared" si="5"/>
        <v>0</v>
      </c>
      <c r="S26" s="141">
        <f t="shared" si="6"/>
        <v>0</v>
      </c>
      <c r="T26" s="141">
        <f t="shared" si="7"/>
        <v>0</v>
      </c>
      <c r="U26" s="166">
        <f t="shared" si="1"/>
        <v>0</v>
      </c>
      <c r="V26" s="141">
        <f t="shared" si="8"/>
        <v>0</v>
      </c>
      <c r="W26" s="141">
        <f t="shared" si="9"/>
        <v>0</v>
      </c>
      <c r="X26" s="141">
        <f t="shared" si="10"/>
        <v>0</v>
      </c>
      <c r="Z26" s="460" t="b">
        <f t="shared" si="11"/>
        <v>1</v>
      </c>
      <c r="AA26" s="257" t="b">
        <f t="shared" si="12"/>
        <v>0</v>
      </c>
      <c r="AB26" s="459">
        <f t="shared" si="13"/>
        <v>1</v>
      </c>
    </row>
    <row r="27" spans="1:28" ht="15.95" customHeight="1" x14ac:dyDescent="0.2">
      <c r="A27" s="276"/>
      <c r="B27" s="302"/>
      <c r="C27" s="302"/>
      <c r="D27" s="302"/>
      <c r="E27" s="498"/>
      <c r="F27" s="498"/>
      <c r="G27" s="54" t="str">
        <f t="shared" ca="1" si="0"/>
        <v/>
      </c>
      <c r="H27" s="141"/>
      <c r="I27" s="141"/>
      <c r="J27" s="141"/>
      <c r="K27" s="141"/>
      <c r="L27" s="704" t="s">
        <v>160</v>
      </c>
      <c r="M27" s="704"/>
      <c r="N27" s="141">
        <f t="shared" ca="1" si="2"/>
        <v>0</v>
      </c>
      <c r="O27" s="141">
        <f t="shared" ca="1" si="3"/>
        <v>0</v>
      </c>
      <c r="P27" s="141">
        <f t="shared" ca="1" si="4"/>
        <v>0</v>
      </c>
      <c r="Q27" s="141"/>
      <c r="R27" s="141">
        <f t="shared" si="5"/>
        <v>0</v>
      </c>
      <c r="S27" s="141">
        <f t="shared" si="6"/>
        <v>0</v>
      </c>
      <c r="T27" s="141">
        <f t="shared" si="7"/>
        <v>0</v>
      </c>
      <c r="U27" s="166">
        <f t="shared" si="1"/>
        <v>0</v>
      </c>
      <c r="V27" s="141">
        <f t="shared" si="8"/>
        <v>0</v>
      </c>
      <c r="W27" s="141">
        <f t="shared" si="9"/>
        <v>0</v>
      </c>
      <c r="X27" s="141">
        <f t="shared" si="10"/>
        <v>0</v>
      </c>
      <c r="Z27" s="460" t="b">
        <f t="shared" si="11"/>
        <v>0</v>
      </c>
      <c r="AA27" s="257" t="b">
        <f t="shared" si="12"/>
        <v>0</v>
      </c>
      <c r="AB27" s="459">
        <f t="shared" si="13"/>
        <v>0</v>
      </c>
    </row>
    <row r="28" spans="1:28" ht="15.95" customHeight="1" x14ac:dyDescent="0.2">
      <c r="A28" s="276"/>
      <c r="B28" s="302"/>
      <c r="C28" s="302"/>
      <c r="D28" s="302"/>
      <c r="E28" s="498"/>
      <c r="F28" s="498"/>
      <c r="G28" s="54" t="str">
        <f t="shared" ca="1" si="0"/>
        <v/>
      </c>
      <c r="H28" s="141"/>
      <c r="I28" s="141"/>
      <c r="J28" s="141"/>
      <c r="K28" s="141"/>
      <c r="L28" s="704" t="s">
        <v>160</v>
      </c>
      <c r="M28" s="704"/>
      <c r="N28" s="141">
        <f t="shared" ca="1" si="2"/>
        <v>0</v>
      </c>
      <c r="O28" s="141">
        <f t="shared" ca="1" si="3"/>
        <v>0</v>
      </c>
      <c r="P28" s="141">
        <f t="shared" ca="1" si="4"/>
        <v>0</v>
      </c>
      <c r="Q28" s="141"/>
      <c r="R28" s="141">
        <f t="shared" si="5"/>
        <v>0</v>
      </c>
      <c r="S28" s="141">
        <f t="shared" si="6"/>
        <v>0</v>
      </c>
      <c r="T28" s="141">
        <f t="shared" si="7"/>
        <v>0</v>
      </c>
      <c r="U28" s="166">
        <f t="shared" si="1"/>
        <v>0</v>
      </c>
      <c r="V28" s="141">
        <f t="shared" si="8"/>
        <v>0</v>
      </c>
      <c r="W28" s="141">
        <f t="shared" si="9"/>
        <v>0</v>
      </c>
      <c r="X28" s="141">
        <f t="shared" si="10"/>
        <v>0</v>
      </c>
      <c r="Z28" s="460" t="b">
        <f t="shared" si="11"/>
        <v>0</v>
      </c>
      <c r="AA28" s="257" t="b">
        <f t="shared" si="12"/>
        <v>0</v>
      </c>
      <c r="AB28" s="459">
        <f t="shared" si="13"/>
        <v>0</v>
      </c>
    </row>
    <row r="29" spans="1:28" ht="15.95" customHeight="1" x14ac:dyDescent="0.2">
      <c r="A29" s="276"/>
      <c r="B29" s="302"/>
      <c r="C29" s="302"/>
      <c r="D29" s="302"/>
      <c r="E29" s="498"/>
      <c r="F29" s="498"/>
      <c r="G29" s="54" t="str">
        <f t="shared" ca="1" si="0"/>
        <v/>
      </c>
      <c r="H29" s="141"/>
      <c r="I29" s="141"/>
      <c r="J29" s="141"/>
      <c r="K29" s="141"/>
      <c r="L29" s="704" t="s">
        <v>160</v>
      </c>
      <c r="M29" s="704"/>
      <c r="N29" s="141">
        <f t="shared" ca="1" si="2"/>
        <v>0</v>
      </c>
      <c r="O29" s="141">
        <f t="shared" ca="1" si="3"/>
        <v>0</v>
      </c>
      <c r="P29" s="141">
        <f t="shared" ca="1" si="4"/>
        <v>0</v>
      </c>
      <c r="Q29" s="141"/>
      <c r="R29" s="141">
        <f t="shared" si="5"/>
        <v>0</v>
      </c>
      <c r="S29" s="141">
        <f t="shared" si="6"/>
        <v>0</v>
      </c>
      <c r="T29" s="141">
        <f t="shared" si="7"/>
        <v>0</v>
      </c>
      <c r="U29" s="166">
        <f t="shared" si="1"/>
        <v>0</v>
      </c>
      <c r="V29" s="141">
        <f t="shared" si="8"/>
        <v>0</v>
      </c>
      <c r="W29" s="141">
        <f t="shared" si="9"/>
        <v>0</v>
      </c>
      <c r="X29" s="141">
        <f t="shared" si="10"/>
        <v>0</v>
      </c>
      <c r="Z29" s="460" t="b">
        <f t="shared" si="11"/>
        <v>0</v>
      </c>
      <c r="AA29" s="257" t="b">
        <f t="shared" si="12"/>
        <v>0</v>
      </c>
      <c r="AB29" s="459">
        <f t="shared" si="13"/>
        <v>0</v>
      </c>
    </row>
    <row r="30" spans="1:28" ht="15.95" customHeight="1" x14ac:dyDescent="0.2">
      <c r="A30" s="276"/>
      <c r="B30" s="302"/>
      <c r="C30" s="302"/>
      <c r="D30" s="302"/>
      <c r="E30" s="498"/>
      <c r="F30" s="498"/>
      <c r="G30" s="54" t="str">
        <f t="shared" ca="1" si="0"/>
        <v/>
      </c>
      <c r="H30" s="141"/>
      <c r="I30" s="141"/>
      <c r="J30" s="141"/>
      <c r="K30" s="141"/>
      <c r="L30" s="704" t="s">
        <v>160</v>
      </c>
      <c r="M30" s="704"/>
      <c r="N30" s="141">
        <f t="shared" ca="1" si="2"/>
        <v>0</v>
      </c>
      <c r="O30" s="141">
        <f t="shared" ca="1" si="3"/>
        <v>0</v>
      </c>
      <c r="P30" s="141">
        <f t="shared" ca="1" si="4"/>
        <v>0</v>
      </c>
      <c r="Q30" s="141"/>
      <c r="R30" s="141">
        <f t="shared" si="5"/>
        <v>0</v>
      </c>
      <c r="S30" s="141">
        <f t="shared" si="6"/>
        <v>0</v>
      </c>
      <c r="T30" s="141">
        <f t="shared" si="7"/>
        <v>0</v>
      </c>
      <c r="U30" s="166">
        <f t="shared" si="1"/>
        <v>0</v>
      </c>
      <c r="V30" s="141">
        <f t="shared" si="8"/>
        <v>0</v>
      </c>
      <c r="W30" s="141">
        <f t="shared" si="9"/>
        <v>0</v>
      </c>
      <c r="X30" s="141">
        <f t="shared" si="10"/>
        <v>0</v>
      </c>
      <c r="Z30" s="460" t="b">
        <f t="shared" si="11"/>
        <v>0</v>
      </c>
      <c r="AA30" s="257" t="b">
        <f t="shared" si="12"/>
        <v>0</v>
      </c>
      <c r="AB30" s="459">
        <f t="shared" si="13"/>
        <v>0</v>
      </c>
    </row>
    <row r="31" spans="1:28" ht="15.95" customHeight="1" x14ac:dyDescent="0.2">
      <c r="A31" s="276"/>
      <c r="B31" s="302"/>
      <c r="C31" s="302"/>
      <c r="D31" s="302"/>
      <c r="E31" s="498"/>
      <c r="F31" s="498"/>
      <c r="G31" s="54" t="str">
        <f t="shared" ca="1" si="0"/>
        <v/>
      </c>
      <c r="H31" s="141"/>
      <c r="I31" s="141"/>
      <c r="J31" s="141"/>
      <c r="K31" s="141"/>
      <c r="L31" s="704" t="s">
        <v>160</v>
      </c>
      <c r="M31" s="704"/>
      <c r="N31" s="141">
        <f t="shared" ca="1" si="2"/>
        <v>0</v>
      </c>
      <c r="O31" s="141">
        <f t="shared" ca="1" si="3"/>
        <v>0</v>
      </c>
      <c r="P31" s="141">
        <f t="shared" ca="1" si="4"/>
        <v>0</v>
      </c>
      <c r="Q31" s="141"/>
      <c r="R31" s="141">
        <f t="shared" si="5"/>
        <v>0</v>
      </c>
      <c r="S31" s="141">
        <f t="shared" si="6"/>
        <v>0</v>
      </c>
      <c r="T31" s="141">
        <f t="shared" si="7"/>
        <v>0</v>
      </c>
      <c r="U31" s="166">
        <f t="shared" si="1"/>
        <v>0</v>
      </c>
      <c r="V31" s="141">
        <f t="shared" si="8"/>
        <v>0</v>
      </c>
      <c r="W31" s="141">
        <f t="shared" si="9"/>
        <v>0</v>
      </c>
      <c r="X31" s="141">
        <f t="shared" si="10"/>
        <v>0</v>
      </c>
      <c r="Z31" s="460" t="b">
        <f t="shared" si="11"/>
        <v>0</v>
      </c>
      <c r="AA31" s="257" t="b">
        <f t="shared" si="12"/>
        <v>0</v>
      </c>
      <c r="AB31" s="459">
        <f t="shared" si="13"/>
        <v>0</v>
      </c>
    </row>
    <row r="32" spans="1:28" ht="15.95" customHeight="1" x14ac:dyDescent="0.2">
      <c r="A32" s="276"/>
      <c r="B32" s="302"/>
      <c r="C32" s="302"/>
      <c r="D32" s="302"/>
      <c r="E32" s="498"/>
      <c r="F32" s="498"/>
      <c r="G32" s="54" t="str">
        <f t="shared" ca="1" si="0"/>
        <v/>
      </c>
      <c r="H32" s="141"/>
      <c r="I32" s="141"/>
      <c r="J32" s="141"/>
      <c r="K32" s="141"/>
      <c r="L32" s="704" t="s">
        <v>663</v>
      </c>
      <c r="M32" s="704"/>
      <c r="N32" s="141">
        <f t="shared" ca="1" si="2"/>
        <v>0</v>
      </c>
      <c r="O32" s="141">
        <f t="shared" ca="1" si="3"/>
        <v>0</v>
      </c>
      <c r="P32" s="141">
        <f t="shared" ca="1" si="4"/>
        <v>0</v>
      </c>
      <c r="Q32" s="141"/>
      <c r="R32" s="141">
        <f t="shared" si="5"/>
        <v>0</v>
      </c>
      <c r="S32" s="141">
        <f t="shared" si="6"/>
        <v>0</v>
      </c>
      <c r="T32" s="141">
        <f t="shared" si="7"/>
        <v>0</v>
      </c>
      <c r="U32" s="166">
        <f t="shared" si="1"/>
        <v>0</v>
      </c>
      <c r="V32" s="141">
        <f t="shared" si="8"/>
        <v>0</v>
      </c>
      <c r="W32" s="141">
        <f t="shared" si="9"/>
        <v>0</v>
      </c>
      <c r="X32" s="141">
        <f t="shared" si="10"/>
        <v>0</v>
      </c>
      <c r="Z32" s="460" t="b">
        <f t="shared" si="11"/>
        <v>0</v>
      </c>
      <c r="AA32" s="257" t="b">
        <f t="shared" si="12"/>
        <v>0</v>
      </c>
      <c r="AB32" s="459">
        <f t="shared" si="13"/>
        <v>0</v>
      </c>
    </row>
    <row r="33" spans="1:28" ht="15.95" customHeight="1" x14ac:dyDescent="0.2">
      <c r="A33" s="276"/>
      <c r="B33" s="302"/>
      <c r="C33" s="302"/>
      <c r="D33" s="302"/>
      <c r="E33" s="498"/>
      <c r="F33" s="498"/>
      <c r="G33" s="54" t="str">
        <f t="shared" ca="1" si="0"/>
        <v/>
      </c>
      <c r="H33" s="141"/>
      <c r="I33" s="141"/>
      <c r="J33" s="141"/>
      <c r="K33" s="141"/>
      <c r="L33" s="704" t="s">
        <v>160</v>
      </c>
      <c r="M33" s="704"/>
      <c r="N33" s="141">
        <f t="shared" ca="1" si="2"/>
        <v>0</v>
      </c>
      <c r="O33" s="141">
        <f t="shared" ca="1" si="3"/>
        <v>0</v>
      </c>
      <c r="P33" s="141">
        <f t="shared" ca="1" si="4"/>
        <v>0</v>
      </c>
      <c r="Q33" s="141"/>
      <c r="R33" s="141">
        <f t="shared" si="5"/>
        <v>0</v>
      </c>
      <c r="S33" s="141">
        <f t="shared" si="6"/>
        <v>0</v>
      </c>
      <c r="T33" s="141">
        <f t="shared" si="7"/>
        <v>0</v>
      </c>
      <c r="U33" s="166">
        <f t="shared" si="1"/>
        <v>0</v>
      </c>
      <c r="V33" s="141">
        <f t="shared" si="8"/>
        <v>0</v>
      </c>
      <c r="W33" s="141">
        <f t="shared" si="9"/>
        <v>0</v>
      </c>
      <c r="X33" s="141">
        <f t="shared" si="10"/>
        <v>0</v>
      </c>
      <c r="Z33" s="460" t="b">
        <f t="shared" si="11"/>
        <v>0</v>
      </c>
      <c r="AA33" s="257" t="b">
        <f t="shared" si="12"/>
        <v>0</v>
      </c>
      <c r="AB33" s="459">
        <f t="shared" si="13"/>
        <v>0</v>
      </c>
    </row>
    <row r="34" spans="1:28" ht="15.95" customHeight="1" x14ac:dyDescent="0.2">
      <c r="A34" s="276"/>
      <c r="B34" s="302"/>
      <c r="C34" s="302"/>
      <c r="D34" s="302"/>
      <c r="E34" s="498"/>
      <c r="F34" s="498"/>
      <c r="G34" s="54" t="str">
        <f t="shared" ca="1" si="0"/>
        <v/>
      </c>
      <c r="H34" s="141"/>
      <c r="I34" s="141"/>
      <c r="J34" s="141"/>
      <c r="K34" s="141"/>
      <c r="L34" s="704" t="s">
        <v>160</v>
      </c>
      <c r="M34" s="704"/>
      <c r="N34" s="141">
        <f t="shared" ca="1" si="2"/>
        <v>0</v>
      </c>
      <c r="O34" s="141">
        <f t="shared" ca="1" si="3"/>
        <v>0</v>
      </c>
      <c r="P34" s="141">
        <f t="shared" ca="1" si="4"/>
        <v>0</v>
      </c>
      <c r="Q34" s="141"/>
      <c r="R34" s="141">
        <f t="shared" si="5"/>
        <v>0</v>
      </c>
      <c r="S34" s="141">
        <f t="shared" si="6"/>
        <v>0</v>
      </c>
      <c r="T34" s="141">
        <f t="shared" si="7"/>
        <v>0</v>
      </c>
      <c r="U34" s="166">
        <f t="shared" si="1"/>
        <v>0</v>
      </c>
      <c r="V34" s="141">
        <f t="shared" si="8"/>
        <v>0</v>
      </c>
      <c r="W34" s="141">
        <f t="shared" si="9"/>
        <v>0</v>
      </c>
      <c r="X34" s="141">
        <f t="shared" si="10"/>
        <v>0</v>
      </c>
      <c r="Z34" s="460" t="b">
        <f t="shared" si="11"/>
        <v>0</v>
      </c>
      <c r="AA34" s="257" t="b">
        <f t="shared" si="12"/>
        <v>0</v>
      </c>
      <c r="AB34" s="459">
        <f t="shared" si="13"/>
        <v>0</v>
      </c>
    </row>
    <row r="35" spans="1:28" ht="15.95" customHeight="1" x14ac:dyDescent="0.2">
      <c r="A35" s="276"/>
      <c r="B35" s="302"/>
      <c r="C35" s="302"/>
      <c r="D35" s="302"/>
      <c r="E35" s="498"/>
      <c r="F35" s="498"/>
      <c r="G35" s="54" t="str">
        <f t="shared" ca="1" si="0"/>
        <v/>
      </c>
      <c r="H35" s="141"/>
      <c r="I35" s="141"/>
      <c r="J35" s="141"/>
      <c r="K35" s="141"/>
      <c r="L35" s="704" t="s">
        <v>160</v>
      </c>
      <c r="M35" s="704"/>
      <c r="N35" s="141">
        <f t="shared" ca="1" si="2"/>
        <v>0</v>
      </c>
      <c r="O35" s="141">
        <f t="shared" ca="1" si="3"/>
        <v>0</v>
      </c>
      <c r="P35" s="141">
        <f t="shared" ca="1" si="4"/>
        <v>0</v>
      </c>
      <c r="Q35" s="141"/>
      <c r="R35" s="141">
        <f t="shared" si="5"/>
        <v>0</v>
      </c>
      <c r="S35" s="141">
        <f t="shared" si="6"/>
        <v>0</v>
      </c>
      <c r="T35" s="141">
        <f t="shared" si="7"/>
        <v>0</v>
      </c>
      <c r="U35" s="166">
        <f t="shared" si="1"/>
        <v>0</v>
      </c>
      <c r="V35" s="141">
        <f t="shared" si="8"/>
        <v>0</v>
      </c>
      <c r="W35" s="141">
        <f t="shared" si="9"/>
        <v>0</v>
      </c>
      <c r="X35" s="141">
        <f t="shared" si="10"/>
        <v>0</v>
      </c>
      <c r="Z35" s="460" t="b">
        <f t="shared" si="11"/>
        <v>0</v>
      </c>
      <c r="AA35" s="257" t="b">
        <f t="shared" si="12"/>
        <v>0</v>
      </c>
      <c r="AB35" s="459">
        <f t="shared" si="13"/>
        <v>0</v>
      </c>
    </row>
    <row r="36" spans="1:28" ht="15.95" customHeight="1" x14ac:dyDescent="0.2">
      <c r="A36" s="276"/>
      <c r="B36" s="302"/>
      <c r="C36" s="302"/>
      <c r="D36" s="302"/>
      <c r="E36" s="498"/>
      <c r="F36" s="498"/>
      <c r="G36" s="54" t="str">
        <f t="shared" ca="1" si="0"/>
        <v/>
      </c>
      <c r="H36" s="141"/>
      <c r="I36" s="141"/>
      <c r="J36" s="141"/>
      <c r="K36" s="141"/>
      <c r="L36" s="704" t="s">
        <v>160</v>
      </c>
      <c r="M36" s="704"/>
      <c r="N36" s="141">
        <f t="shared" ca="1" si="2"/>
        <v>0</v>
      </c>
      <c r="O36" s="141">
        <f t="shared" ca="1" si="3"/>
        <v>0</v>
      </c>
      <c r="P36" s="141">
        <f t="shared" ca="1" si="4"/>
        <v>0</v>
      </c>
      <c r="Q36" s="141"/>
      <c r="R36" s="141">
        <f t="shared" si="5"/>
        <v>0</v>
      </c>
      <c r="S36" s="141">
        <f t="shared" si="6"/>
        <v>0</v>
      </c>
      <c r="T36" s="141">
        <f t="shared" si="7"/>
        <v>0</v>
      </c>
      <c r="U36" s="166">
        <f t="shared" si="1"/>
        <v>0</v>
      </c>
      <c r="V36" s="141">
        <f t="shared" si="8"/>
        <v>0</v>
      </c>
      <c r="W36" s="141">
        <f t="shared" si="9"/>
        <v>0</v>
      </c>
      <c r="X36" s="141">
        <f t="shared" si="10"/>
        <v>0</v>
      </c>
      <c r="Z36" s="460" t="b">
        <f t="shared" si="11"/>
        <v>0</v>
      </c>
      <c r="AA36" s="257" t="b">
        <f t="shared" si="12"/>
        <v>0</v>
      </c>
      <c r="AB36" s="459">
        <f t="shared" si="13"/>
        <v>0</v>
      </c>
    </row>
    <row r="37" spans="1:28" ht="15.95" customHeight="1" x14ac:dyDescent="0.2">
      <c r="A37" s="276"/>
      <c r="B37" s="302"/>
      <c r="C37" s="302"/>
      <c r="D37" s="302"/>
      <c r="E37" s="498"/>
      <c r="F37" s="498"/>
      <c r="G37" s="54" t="str">
        <f t="shared" ca="1" si="0"/>
        <v/>
      </c>
      <c r="H37" s="141"/>
      <c r="I37" s="141"/>
      <c r="J37" s="141"/>
      <c r="K37" s="141"/>
      <c r="L37" s="704" t="s">
        <v>160</v>
      </c>
      <c r="M37" s="704"/>
      <c r="N37" s="141">
        <f t="shared" ca="1" si="2"/>
        <v>0</v>
      </c>
      <c r="O37" s="141">
        <f t="shared" ca="1" si="3"/>
        <v>0</v>
      </c>
      <c r="P37" s="141">
        <f t="shared" ca="1" si="4"/>
        <v>0</v>
      </c>
      <c r="Q37" s="141"/>
      <c r="R37" s="141">
        <f t="shared" si="5"/>
        <v>0</v>
      </c>
      <c r="S37" s="141">
        <f t="shared" si="6"/>
        <v>0</v>
      </c>
      <c r="T37" s="141">
        <f t="shared" si="7"/>
        <v>0</v>
      </c>
      <c r="U37" s="166">
        <f t="shared" si="1"/>
        <v>0</v>
      </c>
      <c r="V37" s="141">
        <f t="shared" si="8"/>
        <v>0</v>
      </c>
      <c r="W37" s="141">
        <f t="shared" si="9"/>
        <v>0</v>
      </c>
      <c r="X37" s="141">
        <f t="shared" si="10"/>
        <v>0</v>
      </c>
      <c r="Z37" s="460" t="b">
        <f t="shared" si="11"/>
        <v>0</v>
      </c>
      <c r="AA37" s="257" t="b">
        <f t="shared" si="12"/>
        <v>0</v>
      </c>
      <c r="AB37" s="459">
        <f t="shared" si="13"/>
        <v>0</v>
      </c>
    </row>
    <row r="38" spans="1:28" ht="15.95" customHeight="1" x14ac:dyDescent="0.2">
      <c r="A38" s="276"/>
      <c r="B38" s="302"/>
      <c r="C38" s="302"/>
      <c r="D38" s="302"/>
      <c r="E38" s="498"/>
      <c r="F38" s="498"/>
      <c r="G38" s="54" t="str">
        <f t="shared" ca="1" si="0"/>
        <v/>
      </c>
      <c r="H38" s="141"/>
      <c r="I38" s="141"/>
      <c r="J38" s="141"/>
      <c r="K38" s="141"/>
      <c r="L38" s="704" t="s">
        <v>160</v>
      </c>
      <c r="M38" s="704"/>
      <c r="N38" s="141">
        <f t="shared" ca="1" si="2"/>
        <v>0</v>
      </c>
      <c r="O38" s="141">
        <f t="shared" ca="1" si="3"/>
        <v>0</v>
      </c>
      <c r="P38" s="141">
        <f t="shared" ca="1" si="4"/>
        <v>0</v>
      </c>
      <c r="Q38" s="141"/>
      <c r="R38" s="141">
        <f t="shared" si="5"/>
        <v>0</v>
      </c>
      <c r="S38" s="141">
        <f t="shared" si="6"/>
        <v>0</v>
      </c>
      <c r="T38" s="141">
        <f t="shared" si="7"/>
        <v>0</v>
      </c>
      <c r="U38" s="166">
        <f t="shared" si="1"/>
        <v>0</v>
      </c>
      <c r="V38" s="141">
        <f t="shared" si="8"/>
        <v>0</v>
      </c>
      <c r="W38" s="141">
        <f t="shared" si="9"/>
        <v>0</v>
      </c>
      <c r="X38" s="141">
        <f t="shared" si="10"/>
        <v>0</v>
      </c>
      <c r="Z38" s="460" t="b">
        <f t="shared" si="11"/>
        <v>0</v>
      </c>
      <c r="AA38" s="257" t="b">
        <f t="shared" si="12"/>
        <v>0</v>
      </c>
      <c r="AB38" s="459">
        <f t="shared" si="13"/>
        <v>0</v>
      </c>
    </row>
    <row r="39" spans="1:28" ht="15.95" customHeight="1" x14ac:dyDescent="0.2">
      <c r="A39" s="276"/>
      <c r="B39" s="302"/>
      <c r="C39" s="302"/>
      <c r="D39" s="302"/>
      <c r="E39" s="498"/>
      <c r="F39" s="498"/>
      <c r="G39" s="54" t="str">
        <f t="shared" ca="1" si="0"/>
        <v/>
      </c>
      <c r="H39" s="141"/>
      <c r="I39" s="141"/>
      <c r="J39" s="141"/>
      <c r="K39" s="141"/>
      <c r="L39" s="704" t="s">
        <v>160</v>
      </c>
      <c r="M39" s="704"/>
      <c r="N39" s="141">
        <f t="shared" ca="1" si="2"/>
        <v>0</v>
      </c>
      <c r="O39" s="141">
        <f t="shared" ca="1" si="3"/>
        <v>0</v>
      </c>
      <c r="P39" s="141">
        <f t="shared" ca="1" si="4"/>
        <v>0</v>
      </c>
      <c r="Q39" s="141"/>
      <c r="R39" s="141">
        <f t="shared" si="5"/>
        <v>0</v>
      </c>
      <c r="S39" s="141">
        <f t="shared" si="6"/>
        <v>0</v>
      </c>
      <c r="T39" s="141">
        <f t="shared" si="7"/>
        <v>0</v>
      </c>
      <c r="U39" s="166">
        <f t="shared" si="1"/>
        <v>0</v>
      </c>
      <c r="V39" s="141">
        <f t="shared" si="8"/>
        <v>0</v>
      </c>
      <c r="W39" s="141">
        <f t="shared" si="9"/>
        <v>0</v>
      </c>
      <c r="X39" s="141">
        <f t="shared" si="10"/>
        <v>0</v>
      </c>
      <c r="Z39" s="460" t="b">
        <f t="shared" si="11"/>
        <v>0</v>
      </c>
      <c r="AA39" s="257" t="b">
        <f t="shared" si="12"/>
        <v>0</v>
      </c>
      <c r="AB39" s="459">
        <f t="shared" si="13"/>
        <v>0</v>
      </c>
    </row>
    <row r="40" spans="1:28" ht="15.95" customHeight="1" x14ac:dyDescent="0.2">
      <c r="A40" s="276"/>
      <c r="B40" s="302"/>
      <c r="C40" s="302"/>
      <c r="D40" s="302"/>
      <c r="E40" s="498"/>
      <c r="F40" s="498"/>
      <c r="G40" s="54" t="str">
        <f t="shared" ca="1" si="0"/>
        <v/>
      </c>
      <c r="H40" s="141"/>
      <c r="I40" s="141"/>
      <c r="J40" s="141"/>
      <c r="K40" s="141"/>
      <c r="L40" s="704" t="s">
        <v>160</v>
      </c>
      <c r="M40" s="704"/>
      <c r="N40" s="141">
        <f t="shared" ca="1" si="2"/>
        <v>0</v>
      </c>
      <c r="O40" s="141">
        <f t="shared" ca="1" si="3"/>
        <v>0</v>
      </c>
      <c r="P40" s="141">
        <f t="shared" ca="1" si="4"/>
        <v>0</v>
      </c>
      <c r="Q40" s="141"/>
      <c r="R40" s="141">
        <f t="shared" si="5"/>
        <v>0</v>
      </c>
      <c r="S40" s="141">
        <f t="shared" si="6"/>
        <v>0</v>
      </c>
      <c r="T40" s="141">
        <f t="shared" si="7"/>
        <v>0</v>
      </c>
      <c r="U40" s="166">
        <f t="shared" si="1"/>
        <v>0</v>
      </c>
      <c r="V40" s="141">
        <f t="shared" si="8"/>
        <v>0</v>
      </c>
      <c r="W40" s="141">
        <f t="shared" si="9"/>
        <v>0</v>
      </c>
      <c r="X40" s="141">
        <f t="shared" si="10"/>
        <v>0</v>
      </c>
      <c r="Z40" s="460" t="b">
        <f t="shared" si="11"/>
        <v>0</v>
      </c>
      <c r="AA40" s="257" t="b">
        <f t="shared" si="12"/>
        <v>0</v>
      </c>
      <c r="AB40" s="459">
        <f t="shared" si="13"/>
        <v>0</v>
      </c>
    </row>
    <row r="41" spans="1:28" ht="15.95" customHeight="1" x14ac:dyDescent="0.2">
      <c r="A41" s="276"/>
      <c r="B41" s="302"/>
      <c r="C41" s="302"/>
      <c r="D41" s="302"/>
      <c r="E41" s="498"/>
      <c r="F41" s="498"/>
      <c r="G41" s="54" t="str">
        <f t="shared" ca="1" si="0"/>
        <v/>
      </c>
      <c r="H41" s="141"/>
      <c r="I41" s="141"/>
      <c r="J41" s="141"/>
      <c r="K41" s="141"/>
      <c r="L41" s="704" t="s">
        <v>160</v>
      </c>
      <c r="M41" s="704"/>
      <c r="N41" s="141">
        <f t="shared" ca="1" si="2"/>
        <v>0</v>
      </c>
      <c r="O41" s="141">
        <f t="shared" ca="1" si="3"/>
        <v>0</v>
      </c>
      <c r="P41" s="141">
        <f t="shared" ca="1" si="4"/>
        <v>0</v>
      </c>
      <c r="Q41" s="141"/>
      <c r="R41" s="141">
        <f t="shared" si="5"/>
        <v>0</v>
      </c>
      <c r="S41" s="141">
        <f t="shared" si="6"/>
        <v>0</v>
      </c>
      <c r="T41" s="141">
        <f t="shared" si="7"/>
        <v>0</v>
      </c>
      <c r="U41" s="166">
        <f t="shared" si="1"/>
        <v>0</v>
      </c>
      <c r="V41" s="141">
        <f t="shared" si="8"/>
        <v>0</v>
      </c>
      <c r="W41" s="141">
        <f t="shared" si="9"/>
        <v>0</v>
      </c>
      <c r="X41" s="141">
        <f t="shared" si="10"/>
        <v>0</v>
      </c>
      <c r="Z41" s="460" t="b">
        <f t="shared" si="11"/>
        <v>0</v>
      </c>
      <c r="AA41" s="257" t="b">
        <f t="shared" si="12"/>
        <v>0</v>
      </c>
      <c r="AB41" s="459">
        <f t="shared" si="13"/>
        <v>0</v>
      </c>
    </row>
    <row r="42" spans="1:28" ht="15.95" customHeight="1" x14ac:dyDescent="0.2">
      <c r="A42" s="276"/>
      <c r="B42" s="302"/>
      <c r="C42" s="302"/>
      <c r="D42" s="302"/>
      <c r="E42" s="498"/>
      <c r="F42" s="498"/>
      <c r="G42" s="54" t="str">
        <f t="shared" ca="1" si="0"/>
        <v/>
      </c>
      <c r="H42" s="141"/>
      <c r="I42" s="141"/>
      <c r="J42" s="141"/>
      <c r="K42" s="141"/>
      <c r="L42" s="704" t="s">
        <v>160</v>
      </c>
      <c r="M42" s="704"/>
      <c r="N42" s="141">
        <f t="shared" ca="1" si="2"/>
        <v>0</v>
      </c>
      <c r="O42" s="141">
        <f t="shared" ca="1" si="3"/>
        <v>0</v>
      </c>
      <c r="P42" s="141">
        <f t="shared" ca="1" si="4"/>
        <v>0</v>
      </c>
      <c r="Q42" s="141"/>
      <c r="R42" s="141">
        <f t="shared" si="5"/>
        <v>0</v>
      </c>
      <c r="S42" s="141">
        <f t="shared" si="6"/>
        <v>0</v>
      </c>
      <c r="T42" s="141">
        <f t="shared" si="7"/>
        <v>0</v>
      </c>
      <c r="U42" s="166">
        <f t="shared" si="1"/>
        <v>0</v>
      </c>
      <c r="V42" s="141">
        <f t="shared" si="8"/>
        <v>0</v>
      </c>
      <c r="W42" s="141">
        <f t="shared" si="9"/>
        <v>0</v>
      </c>
      <c r="X42" s="141">
        <f t="shared" si="10"/>
        <v>0</v>
      </c>
      <c r="Z42" s="460" t="b">
        <f t="shared" si="11"/>
        <v>0</v>
      </c>
      <c r="AA42" s="257" t="b">
        <f>SUMPRODUCT(--ISNUMBER(SEARCH(AA$12,$E43:$F43)))&gt;0</f>
        <v>0</v>
      </c>
      <c r="AB42" s="459">
        <f t="shared" si="13"/>
        <v>0</v>
      </c>
    </row>
    <row r="43" spans="1:28" ht="15.95" customHeight="1" x14ac:dyDescent="0.2">
      <c r="A43" s="276"/>
      <c r="B43" s="302"/>
      <c r="C43" s="302"/>
      <c r="D43" s="302"/>
      <c r="E43" s="498"/>
      <c r="F43" s="498"/>
      <c r="G43" s="54" t="str">
        <f t="shared" ca="1" si="0"/>
        <v/>
      </c>
      <c r="H43" s="141"/>
      <c r="I43" s="141"/>
      <c r="J43" s="141"/>
      <c r="K43" s="141"/>
      <c r="L43" s="704" t="s">
        <v>160</v>
      </c>
      <c r="M43" s="704"/>
      <c r="N43" s="141">
        <f t="shared" ca="1" si="2"/>
        <v>0</v>
      </c>
      <c r="O43" s="141">
        <f t="shared" ca="1" si="3"/>
        <v>0</v>
      </c>
      <c r="P43" s="141">
        <f t="shared" ca="1" si="4"/>
        <v>0</v>
      </c>
      <c r="Q43" s="141"/>
      <c r="R43" s="141">
        <f t="shared" si="5"/>
        <v>0</v>
      </c>
      <c r="S43" s="141">
        <f t="shared" si="6"/>
        <v>0</v>
      </c>
      <c r="T43" s="141">
        <f t="shared" si="7"/>
        <v>0</v>
      </c>
      <c r="U43" s="166">
        <f t="shared" si="1"/>
        <v>0</v>
      </c>
      <c r="V43" s="141">
        <f t="shared" si="8"/>
        <v>0</v>
      </c>
      <c r="W43" s="141">
        <f t="shared" si="9"/>
        <v>0</v>
      </c>
      <c r="X43" s="141">
        <f t="shared" si="10"/>
        <v>0</v>
      </c>
      <c r="Z43" s="461"/>
      <c r="AA43" s="462"/>
      <c r="AB43" s="475">
        <f>SUM(AB13:AB42)</f>
        <v>1</v>
      </c>
    </row>
    <row r="44" spans="1:28" ht="15.95" customHeight="1" x14ac:dyDescent="0.2">
      <c r="A44" s="13" t="s">
        <v>37</v>
      </c>
      <c r="B44" s="159">
        <f ca="1">SUM(B13:B43)-N44+I44-V44</f>
        <v>0</v>
      </c>
      <c r="C44" s="159">
        <f ca="1">SUM(C13:C43)-O44+J44-W44</f>
        <v>0</v>
      </c>
      <c r="D44" s="159">
        <f ca="1">SUM(D13:D43)-P44+K44-X44</f>
        <v>0</v>
      </c>
      <c r="E44" s="10"/>
      <c r="F44" s="716" t="str">
        <f>IF(AB43&gt;0,"Please provide names.","")</f>
        <v>Please provide names.</v>
      </c>
      <c r="G44" s="54"/>
      <c r="H44" s="106"/>
      <c r="I44" s="106">
        <f>-SUM(I13:I43)+R44</f>
        <v>0</v>
      </c>
      <c r="J44" s="106">
        <f>-SUM(J13:J43)+S44</f>
        <v>0</v>
      </c>
      <c r="K44" s="106">
        <f>-SUM(K13:K43)+T44</f>
        <v>0</v>
      </c>
      <c r="L44" s="106" t="str">
        <f>L13&amp;L14&amp;L15&amp;L16&amp;L17&amp;L18&amp;L19&amp;L20&amp;L21&amp;L22&amp;L23&amp;L24&amp;L25&amp;L26&amp;L27&amp;L28&amp;L29&amp;L30&amp;L31&amp;L32&amp;L33&amp;L34&amp;L35&amp;L36&amp;L37&amp;L38&amp;L39&amp;L40&amp;L41&amp;L42&amp;L43</f>
        <v xml:space="preserve">                                 </v>
      </c>
      <c r="N44" s="106">
        <f ca="1">SUM(N13:N43)</f>
        <v>0</v>
      </c>
      <c r="O44" s="106">
        <f ca="1">SUM(O13:O43)</f>
        <v>0</v>
      </c>
      <c r="P44" s="106">
        <f ca="1">SUM(P13:P43)</f>
        <v>0</v>
      </c>
      <c r="Q44" s="106">
        <f>COUNTA(Q13:Q43)</f>
        <v>0</v>
      </c>
      <c r="R44" s="106">
        <f t="shared" ref="R44:X44" si="14">SUM(R13:R43)</f>
        <v>0</v>
      </c>
      <c r="S44" s="106">
        <f t="shared" si="14"/>
        <v>0</v>
      </c>
      <c r="T44" s="106">
        <f t="shared" si="14"/>
        <v>0</v>
      </c>
      <c r="U44" s="207">
        <f t="shared" si="14"/>
        <v>0</v>
      </c>
      <c r="V44" s="106">
        <f t="shared" si="14"/>
        <v>0</v>
      </c>
      <c r="W44" s="106">
        <f t="shared" si="14"/>
        <v>0</v>
      </c>
      <c r="X44" s="106">
        <f t="shared" si="14"/>
        <v>0</v>
      </c>
    </row>
    <row r="45" spans="1:28" ht="15.95" customHeight="1" x14ac:dyDescent="0.2">
      <c r="A45" s="13" t="s">
        <v>42</v>
      </c>
      <c r="B45" s="10">
        <v>4</v>
      </c>
      <c r="C45" s="10">
        <v>7</v>
      </c>
      <c r="D45" s="10">
        <v>10</v>
      </c>
      <c r="E45" s="10"/>
      <c r="F45" s="717"/>
      <c r="G45" s="54"/>
    </row>
    <row r="46" spans="1:28" ht="15.95" customHeight="1" x14ac:dyDescent="0.2">
      <c r="A46" s="13" t="s">
        <v>43</v>
      </c>
      <c r="B46" s="126" t="str">
        <f>IF(E47&gt;3,B44*B45,"Please Fill")</f>
        <v>Please Fill</v>
      </c>
      <c r="C46" s="126" t="str">
        <f>IF(E47&gt;3,C44*C45,"in the ")</f>
        <v xml:space="preserve">in the </v>
      </c>
      <c r="D46" s="234" t="str">
        <f>IF(E47&gt;3,D44*D45,"yellow spaces")</f>
        <v>yellow spaces</v>
      </c>
      <c r="E46" s="63"/>
      <c r="F46" s="717"/>
      <c r="G46" s="54"/>
    </row>
    <row r="47" spans="1:28" x14ac:dyDescent="0.2">
      <c r="B47" s="64"/>
      <c r="C47" s="64"/>
      <c r="D47" s="233" t="str">
        <f>IF(E47&gt;3,SUM(B46:D46),"on summary page")</f>
        <v>on summary page</v>
      </c>
      <c r="E47" s="232">
        <f>Summary!O12</f>
        <v>1</v>
      </c>
      <c r="F47" s="3" t="s">
        <v>49</v>
      </c>
    </row>
  </sheetData>
  <sheetProtection algorithmName="SHA-512" hashValue="UgrbvrTfTZysxcAci997ngLQ0oZYEohHffH3DOMq4rK7VEZOZDIPc8DOVsnONCRY1JfHoNX2wsel2jZYeAkSAA==" saltValue="2uNyscLVMzrtLn1t7E5EUw==" spinCount="100000" sheet="1" objects="1" scenarios="1"/>
  <mergeCells count="53">
    <mergeCell ref="F44:F46"/>
    <mergeCell ref="L17:M17"/>
    <mergeCell ref="V11:X11"/>
    <mergeCell ref="N12:P12"/>
    <mergeCell ref="Q11:T11"/>
    <mergeCell ref="L18:M18"/>
    <mergeCell ref="L19:M19"/>
    <mergeCell ref="L20:M20"/>
    <mergeCell ref="L21:M21"/>
    <mergeCell ref="L30:M30"/>
    <mergeCell ref="L22:M22"/>
    <mergeCell ref="L23:M23"/>
    <mergeCell ref="L24:M24"/>
    <mergeCell ref="L25:M25"/>
    <mergeCell ref="L26:M26"/>
    <mergeCell ref="L27:M27"/>
    <mergeCell ref="B11:D11"/>
    <mergeCell ref="E11:E12"/>
    <mergeCell ref="F11:F12"/>
    <mergeCell ref="I11:L11"/>
    <mergeCell ref="U11:U12"/>
    <mergeCell ref="I10:M10"/>
    <mergeCell ref="L13:M13"/>
    <mergeCell ref="L14:M14"/>
    <mergeCell ref="L15:M15"/>
    <mergeCell ref="L16:M16"/>
    <mergeCell ref="L28:M28"/>
    <mergeCell ref="L29:M29"/>
    <mergeCell ref="L43:M43"/>
    <mergeCell ref="L38:M38"/>
    <mergeCell ref="L39:M39"/>
    <mergeCell ref="L40:M40"/>
    <mergeCell ref="L41:M41"/>
    <mergeCell ref="L37:M37"/>
    <mergeCell ref="L31:M31"/>
    <mergeCell ref="L42:M42"/>
    <mergeCell ref="L32:M32"/>
    <mergeCell ref="L33:M33"/>
    <mergeCell ref="L34:M34"/>
    <mergeCell ref="L35:M35"/>
    <mergeCell ref="L36:M36"/>
    <mergeCell ref="A6:B6"/>
    <mergeCell ref="C1:D1"/>
    <mergeCell ref="C2:D2"/>
    <mergeCell ref="C3:D3"/>
    <mergeCell ref="C4:D4"/>
    <mergeCell ref="C5:D5"/>
    <mergeCell ref="C6:D6"/>
    <mergeCell ref="A1:B1"/>
    <mergeCell ref="A2:B2"/>
    <mergeCell ref="A3:B3"/>
    <mergeCell ref="A4:B4"/>
    <mergeCell ref="A5:B5"/>
  </mergeCells>
  <phoneticPr fontId="0" type="noConversion"/>
  <conditionalFormatting sqref="A13:A43">
    <cfRule type="expression" priority="7">
      <formula>AND($G13="disallow",$Q13="")</formula>
    </cfRule>
  </conditionalFormatting>
  <conditionalFormatting sqref="B13:B43">
    <cfRule type="expression" dxfId="257" priority="6">
      <formula>AND($G13="disallow",$Q13="")</formula>
    </cfRule>
  </conditionalFormatting>
  <conditionalFormatting sqref="C13:C43">
    <cfRule type="expression" priority="5">
      <formula>AND($G13="disallow",$Q13="")</formula>
    </cfRule>
  </conditionalFormatting>
  <conditionalFormatting sqref="D13:D43">
    <cfRule type="expression" dxfId="256" priority="4">
      <formula>AND($G13="disallow",$Q13="")</formula>
    </cfRule>
  </conditionalFormatting>
  <conditionalFormatting sqref="E13:E43">
    <cfRule type="expression" dxfId="255" priority="3">
      <formula>AND($G$13="disallow",$Q$13="")</formula>
    </cfRule>
  </conditionalFormatting>
  <conditionalFormatting sqref="F13:F43">
    <cfRule type="expression" dxfId="254" priority="2">
      <formula>AND($G$13="disallow",$Q13="")</formula>
    </cfRule>
  </conditionalFormatting>
  <conditionalFormatting sqref="B46:D47">
    <cfRule type="expression" dxfId="253" priority="1">
      <formula>$E$47&lt;4</formula>
    </cfRule>
  </conditionalFormatting>
  <dataValidations count="1">
    <dataValidation type="decimal" errorStyle="information" allowBlank="1" showInputMessage="1" showErrorMessage="1" errorTitle="Max Allowed" error="The maximum number of donors allowed per meal is 7. Please reference the Field Finance Manual." prompt="Please enter a number instead of a word." sqref="B13:D43" xr:uid="{00000000-0002-0000-0700-000000000000}">
      <formula1>0</formula1>
      <formula2>7</formula2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B58"/>
  <sheetViews>
    <sheetView view="pageBreakPreview" topLeftCell="A4" zoomScale="75" zoomScaleNormal="100" zoomScaleSheetLayoutView="75" workbookViewId="0">
      <selection activeCell="A16" sqref="A16"/>
    </sheetView>
  </sheetViews>
  <sheetFormatPr defaultRowHeight="12.75" x14ac:dyDescent="0.2"/>
  <cols>
    <col min="1" max="4" width="10.7109375" customWidth="1"/>
    <col min="5" max="7" width="23.7109375" customWidth="1"/>
    <col min="8" max="11" width="10.7109375" customWidth="1"/>
    <col min="12" max="12" width="10.7109375" style="46" customWidth="1"/>
    <col min="13" max="13" width="3.7109375" style="16" customWidth="1"/>
    <col min="14" max="14" width="2.42578125" style="16" customWidth="1"/>
    <col min="15" max="15" width="2.7109375" style="317" customWidth="1"/>
    <col min="21" max="21" width="4" customWidth="1"/>
    <col min="22" max="22" width="9.140625" style="163" customWidth="1"/>
    <col min="23" max="23" width="6.28515625" style="163" customWidth="1"/>
    <col min="24" max="24" width="3.42578125" style="163" customWidth="1"/>
    <col min="26" max="30" width="0" hidden="1" customWidth="1"/>
  </cols>
  <sheetData>
    <row r="1" spans="1:28" x14ac:dyDescent="0.2">
      <c r="A1" s="639" t="s">
        <v>27</v>
      </c>
      <c r="B1" s="640"/>
      <c r="C1" s="640"/>
      <c r="D1" s="640"/>
      <c r="E1" s="641"/>
      <c r="J1" s="5" t="s">
        <v>80</v>
      </c>
      <c r="K1" s="4" t="str">
        <f>'Meals-Donor'!F5</f>
        <v>Gordy Decker</v>
      </c>
      <c r="L1" s="45"/>
    </row>
    <row r="2" spans="1:28" x14ac:dyDescent="0.2">
      <c r="A2" s="378" t="s">
        <v>8</v>
      </c>
      <c r="B2" s="379"/>
      <c r="C2" s="379"/>
      <c r="D2" s="380"/>
      <c r="E2" s="384" t="s">
        <v>9</v>
      </c>
      <c r="J2" s="5" t="s">
        <v>109</v>
      </c>
      <c r="K2" s="8">
        <f>Donor!K2</f>
        <v>0</v>
      </c>
    </row>
    <row r="3" spans="1:28" x14ac:dyDescent="0.2">
      <c r="A3" s="378" t="s">
        <v>78</v>
      </c>
      <c r="B3" s="379"/>
      <c r="C3" s="379"/>
      <c r="D3" s="380"/>
      <c r="E3" s="384" t="s">
        <v>10</v>
      </c>
    </row>
    <row r="4" spans="1:28" ht="12.75" customHeight="1" x14ac:dyDescent="0.2">
      <c r="A4" s="367" t="s">
        <v>1606</v>
      </c>
      <c r="B4" s="379"/>
      <c r="C4" s="379"/>
      <c r="D4" s="380"/>
      <c r="E4" s="384" t="s">
        <v>79</v>
      </c>
      <c r="G4" s="448" t="s">
        <v>1650</v>
      </c>
      <c r="I4" s="448"/>
      <c r="J4" s="448"/>
      <c r="K4" s="448"/>
      <c r="L4" s="448"/>
    </row>
    <row r="5" spans="1:28" x14ac:dyDescent="0.2">
      <c r="A5" s="381" t="s">
        <v>1107</v>
      </c>
      <c r="B5" s="382"/>
      <c r="C5" s="382"/>
      <c r="D5" s="383"/>
      <c r="E5" s="385" t="s">
        <v>73</v>
      </c>
      <c r="G5" s="449" t="s">
        <v>1649</v>
      </c>
      <c r="I5" s="448"/>
      <c r="J5" s="448"/>
      <c r="K5" s="448"/>
      <c r="L5" s="448"/>
    </row>
    <row r="7" spans="1:28" x14ac:dyDescent="0.2">
      <c r="A7" s="630" t="s">
        <v>1636</v>
      </c>
      <c r="B7" s="631"/>
      <c r="C7" s="631"/>
      <c r="D7" s="631"/>
      <c r="E7" s="632"/>
      <c r="G7" s="658" t="s">
        <v>128</v>
      </c>
      <c r="H7" s="659"/>
      <c r="I7" s="660"/>
      <c r="J7" s="652"/>
      <c r="K7" s="653"/>
      <c r="L7" s="654"/>
    </row>
    <row r="8" spans="1:28" x14ac:dyDescent="0.2">
      <c r="A8" s="633"/>
      <c r="B8" s="634"/>
      <c r="C8" s="634"/>
      <c r="D8" s="634"/>
      <c r="E8" s="635"/>
      <c r="G8" s="661" t="s">
        <v>115</v>
      </c>
      <c r="H8" s="662"/>
      <c r="I8" s="663"/>
      <c r="J8" s="655"/>
      <c r="K8" s="656"/>
      <c r="L8" s="657"/>
      <c r="AA8" s="311">
        <v>5783</v>
      </c>
      <c r="AB8" s="312" t="s">
        <v>1011</v>
      </c>
    </row>
    <row r="9" spans="1:28" x14ac:dyDescent="0.2">
      <c r="A9" s="633"/>
      <c r="B9" s="634"/>
      <c r="C9" s="634"/>
      <c r="D9" s="634"/>
      <c r="E9" s="635"/>
      <c r="G9" s="661" t="s">
        <v>116</v>
      </c>
      <c r="H9" s="662"/>
      <c r="I9" s="663"/>
      <c r="J9" s="655"/>
      <c r="K9" s="656"/>
      <c r="L9" s="657"/>
      <c r="AA9" s="313">
        <v>5440</v>
      </c>
      <c r="AB9" s="314" t="s">
        <v>1012</v>
      </c>
    </row>
    <row r="10" spans="1:28" x14ac:dyDescent="0.2">
      <c r="A10" s="633"/>
      <c r="B10" s="634"/>
      <c r="C10" s="634"/>
      <c r="D10" s="634"/>
      <c r="E10" s="635"/>
      <c r="G10" s="646"/>
      <c r="H10" s="647"/>
      <c r="I10" s="648"/>
      <c r="J10" s="655"/>
      <c r="K10" s="656"/>
      <c r="L10" s="657"/>
      <c r="AA10" s="313">
        <v>5345</v>
      </c>
      <c r="AB10" s="314" t="s">
        <v>1013</v>
      </c>
    </row>
    <row r="11" spans="1:28" x14ac:dyDescent="0.2">
      <c r="A11" s="633"/>
      <c r="B11" s="634"/>
      <c r="C11" s="634"/>
      <c r="D11" s="634"/>
      <c r="E11" s="635"/>
      <c r="G11" s="646"/>
      <c r="H11" s="647"/>
      <c r="I11" s="648"/>
      <c r="J11" s="655"/>
      <c r="K11" s="656"/>
      <c r="L11" s="657"/>
      <c r="AA11" s="313">
        <v>5527</v>
      </c>
      <c r="AB11" s="314" t="s">
        <v>1012</v>
      </c>
    </row>
    <row r="12" spans="1:28" x14ac:dyDescent="0.2">
      <c r="A12" s="636"/>
      <c r="B12" s="637"/>
      <c r="C12" s="637"/>
      <c r="D12" s="637"/>
      <c r="E12" s="638"/>
      <c r="G12" s="649"/>
      <c r="H12" s="650"/>
      <c r="I12" s="651"/>
      <c r="J12" s="692"/>
      <c r="K12" s="693"/>
      <c r="L12" s="694"/>
      <c r="AA12" s="313">
        <v>5701</v>
      </c>
      <c r="AB12" s="314" t="s">
        <v>1012</v>
      </c>
    </row>
    <row r="13" spans="1:28" ht="15" customHeight="1" x14ac:dyDescent="0.2">
      <c r="A13" s="35" t="s">
        <v>28</v>
      </c>
      <c r="B13" s="688" t="s">
        <v>92</v>
      </c>
      <c r="C13" s="688"/>
      <c r="D13" s="688"/>
      <c r="E13" s="15"/>
      <c r="F13" s="15"/>
      <c r="G13" s="15"/>
      <c r="H13" s="664" t="s">
        <v>30</v>
      </c>
      <c r="I13" s="664"/>
      <c r="J13" s="664"/>
      <c r="K13" s="664"/>
      <c r="L13" s="49"/>
      <c r="P13" s="667" t="s">
        <v>186</v>
      </c>
      <c r="Q13" s="667"/>
      <c r="R13" s="667"/>
      <c r="S13" s="667"/>
      <c r="T13" s="667"/>
      <c r="U13" s="665" t="s">
        <v>288</v>
      </c>
      <c r="V13" s="665" t="s">
        <v>292</v>
      </c>
      <c r="W13" s="665" t="s">
        <v>507</v>
      </c>
      <c r="Y13" s="665" t="s">
        <v>664</v>
      </c>
      <c r="AA13" s="313">
        <v>5336</v>
      </c>
      <c r="AB13" s="314" t="s">
        <v>1012</v>
      </c>
    </row>
    <row r="14" spans="1:28" ht="12.75" customHeight="1" x14ac:dyDescent="0.2">
      <c r="A14" s="98" t="s">
        <v>104</v>
      </c>
      <c r="B14" s="729" t="s">
        <v>816</v>
      </c>
      <c r="C14" s="729"/>
      <c r="D14" s="729"/>
      <c r="E14" s="669" t="s">
        <v>29</v>
      </c>
      <c r="F14" s="669"/>
      <c r="G14" s="669"/>
      <c r="H14" s="670" t="s">
        <v>93</v>
      </c>
      <c r="I14" s="670"/>
      <c r="J14" s="670"/>
      <c r="K14" s="670"/>
      <c r="L14" s="57" t="s">
        <v>31</v>
      </c>
      <c r="M14" s="478">
        <f ca="1">COUNTIF(M16:M56,"disallow")</f>
        <v>0</v>
      </c>
      <c r="P14" s="167" t="s">
        <v>286</v>
      </c>
      <c r="Q14" s="672" t="s">
        <v>287</v>
      </c>
      <c r="R14" s="672"/>
      <c r="S14" s="672"/>
      <c r="T14" s="672"/>
      <c r="U14" s="666"/>
      <c r="V14" s="666"/>
      <c r="W14" s="666"/>
      <c r="Y14" s="666"/>
      <c r="AA14" s="313">
        <v>5221</v>
      </c>
      <c r="AB14" s="314" t="s">
        <v>1012</v>
      </c>
    </row>
    <row r="15" spans="1:28" ht="12.75" hidden="1" customHeight="1" x14ac:dyDescent="0.2">
      <c r="A15" s="58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1"/>
      <c r="M15" s="16" t="str">
        <f>IF(L15&gt;=75,"*"," ")</f>
        <v xml:space="preserve"> </v>
      </c>
      <c r="O15" s="317" t="str">
        <f>IF(L15&gt;=75,L15," ")</f>
        <v xml:space="preserve"> </v>
      </c>
      <c r="P15" s="166"/>
      <c r="Q15" s="166"/>
      <c r="R15" s="166"/>
      <c r="S15" s="166"/>
      <c r="T15" s="166"/>
      <c r="U15" s="166"/>
      <c r="Y15" s="166"/>
      <c r="AA15" s="313"/>
      <c r="AB15" s="314" t="s">
        <v>1012</v>
      </c>
    </row>
    <row r="16" spans="1:28" x14ac:dyDescent="0.2">
      <c r="A16" s="494"/>
      <c r="B16" s="724"/>
      <c r="C16" s="725"/>
      <c r="D16" s="725"/>
      <c r="E16" s="686"/>
      <c r="F16" s="687"/>
      <c r="G16" s="687"/>
      <c r="H16" s="686"/>
      <c r="I16" s="687"/>
      <c r="J16" s="687"/>
      <c r="K16" s="687"/>
      <c r="L16" s="495"/>
      <c r="M16" s="164" t="str">
        <f t="shared" ref="M16:M53" ca="1" si="0">IF(A16&gt;0,IF(submit_date&gt;0,IF(submit_date-A16&gt;60,"disallow",IF(L16&gt;=75,IF(AND(N16="",TODAY()-submit_date&gt;30),"disallow","*")," ")),IF(TODAY()-A16&gt;60,"disallow",IF(L16&gt;=75,IF(AND(N16="",TODAY()-submit_date&gt;30),"disallow","*")," "))),IF(L16&gt;=75,IF(AND(N16="",TODAY()-submit_date&gt;30),"disallow","*"),""))</f>
        <v/>
      </c>
      <c r="N16" s="161"/>
      <c r="O16" s="317">
        <f>IF(L16&gt;=75,1,0)</f>
        <v>0</v>
      </c>
      <c r="P16" s="168"/>
      <c r="Q16" s="629"/>
      <c r="R16" s="629"/>
      <c r="S16" s="629"/>
      <c r="T16" s="629"/>
      <c r="U16" s="188"/>
      <c r="V16" s="189">
        <f ca="1">IF(AND(M16="disallow",W16=0),L16,0)</f>
        <v>0</v>
      </c>
      <c r="W16" s="195"/>
      <c r="X16" s="189">
        <f>IF(AND(U16&lt;&gt;0,W16&gt;0),-U16,0)</f>
        <v>0</v>
      </c>
      <c r="Y16" s="166">
        <f t="shared" ref="Y16:Y53" si="1">IF(AND(A16&lt;Fiscal_Start_Date,submit_date-A16&lt;90),L16,0)</f>
        <v>0</v>
      </c>
      <c r="Z16" s="163">
        <f>IFERROR(SEARCH("cell",B16,1),0)+IFERROR(SEARCH("phone",E16,1),0)+IFERROR(SEARCH("internet",E16,1),0)+IFERROR(SEARCH("cell",E16,1),0)+IFERROR(SEARCH("phone",B16,1),0)+IFERROR(SEARCH("internet",B16,1),0)</f>
        <v>0</v>
      </c>
      <c r="AA16" s="313">
        <v>5794</v>
      </c>
      <c r="AB16" s="314" t="s">
        <v>1014</v>
      </c>
    </row>
    <row r="17" spans="1:28" x14ac:dyDescent="0.2">
      <c r="A17" s="494"/>
      <c r="B17" s="724"/>
      <c r="C17" s="725"/>
      <c r="D17" s="725"/>
      <c r="E17" s="686"/>
      <c r="F17" s="687"/>
      <c r="G17" s="687"/>
      <c r="H17" s="686"/>
      <c r="I17" s="687"/>
      <c r="J17" s="687"/>
      <c r="K17" s="687"/>
      <c r="L17" s="495"/>
      <c r="M17" s="164" t="str">
        <f t="shared" ca="1" si="0"/>
        <v/>
      </c>
      <c r="N17" s="161"/>
      <c r="O17" s="317">
        <f t="shared" ref="O17:O53" si="2">IF(L17&gt;=75,1,0)</f>
        <v>0</v>
      </c>
      <c r="P17" s="168"/>
      <c r="Q17" s="629"/>
      <c r="R17" s="629"/>
      <c r="S17" s="629"/>
      <c r="T17" s="629"/>
      <c r="U17" s="188">
        <v>0</v>
      </c>
      <c r="V17" s="189">
        <f t="shared" ref="V17:V53" ca="1" si="3">IF(AND(M17="disallow",W17=0),L17,0)</f>
        <v>0</v>
      </c>
      <c r="W17" s="195"/>
      <c r="X17" s="189">
        <f t="shared" ref="X17:X53" si="4">IF(AND(U17&gt;0,W17&gt;0),U17,0)</f>
        <v>0</v>
      </c>
      <c r="Y17" s="166">
        <f t="shared" si="1"/>
        <v>0</v>
      </c>
      <c r="Z17" s="163">
        <f t="shared" ref="Z17:Z53" si="5">IFERROR(SEARCH("cell",B17,1),0)+IFERROR(SEARCH("phone",E17,1),0)+IFERROR(SEARCH("internet",E17,1),0)+IFERROR(SEARCH("cell",E17,1),0)+IFERROR(SEARCH("phone",B17,1),0)+IFERROR(SEARCH("internet",B17,1),0)</f>
        <v>0</v>
      </c>
      <c r="AA17" s="313">
        <v>5453</v>
      </c>
      <c r="AB17" s="314" t="s">
        <v>1012</v>
      </c>
    </row>
    <row r="18" spans="1:28" x14ac:dyDescent="0.2">
      <c r="A18" s="494"/>
      <c r="B18" s="724"/>
      <c r="C18" s="725"/>
      <c r="D18" s="725"/>
      <c r="E18" s="686"/>
      <c r="F18" s="687"/>
      <c r="G18" s="687"/>
      <c r="H18" s="686"/>
      <c r="I18" s="687"/>
      <c r="J18" s="687"/>
      <c r="K18" s="687"/>
      <c r="L18" s="495"/>
      <c r="M18" s="164" t="str">
        <f t="shared" ca="1" si="0"/>
        <v/>
      </c>
      <c r="N18" s="161"/>
      <c r="O18" s="317">
        <f t="shared" si="2"/>
        <v>0</v>
      </c>
      <c r="P18" s="168"/>
      <c r="Q18" s="629"/>
      <c r="R18" s="629"/>
      <c r="S18" s="629"/>
      <c r="T18" s="629"/>
      <c r="U18" s="188">
        <v>0</v>
      </c>
      <c r="V18" s="189">
        <f t="shared" ca="1" si="3"/>
        <v>0</v>
      </c>
      <c r="W18" s="195"/>
      <c r="X18" s="189">
        <f t="shared" si="4"/>
        <v>0</v>
      </c>
      <c r="Y18" s="166">
        <f t="shared" si="1"/>
        <v>0</v>
      </c>
      <c r="Z18" s="163">
        <f t="shared" si="5"/>
        <v>0</v>
      </c>
      <c r="AA18" s="313">
        <v>5482</v>
      </c>
      <c r="AB18" s="314" t="s">
        <v>1015</v>
      </c>
    </row>
    <row r="19" spans="1:28" x14ac:dyDescent="0.2">
      <c r="A19" s="494"/>
      <c r="B19" s="724"/>
      <c r="C19" s="725"/>
      <c r="D19" s="725"/>
      <c r="E19" s="686"/>
      <c r="F19" s="687"/>
      <c r="G19" s="687"/>
      <c r="H19" s="686"/>
      <c r="I19" s="687"/>
      <c r="J19" s="687"/>
      <c r="K19" s="687"/>
      <c r="L19" s="495"/>
      <c r="M19" s="164" t="str">
        <f t="shared" ca="1" si="0"/>
        <v/>
      </c>
      <c r="N19" s="161"/>
      <c r="O19" s="317">
        <f t="shared" si="2"/>
        <v>0</v>
      </c>
      <c r="P19" s="168"/>
      <c r="Q19" s="629"/>
      <c r="R19" s="629"/>
      <c r="S19" s="629"/>
      <c r="T19" s="629"/>
      <c r="U19" s="188">
        <v>0</v>
      </c>
      <c r="V19" s="189">
        <f t="shared" ca="1" si="3"/>
        <v>0</v>
      </c>
      <c r="W19" s="195"/>
      <c r="X19" s="189">
        <f t="shared" si="4"/>
        <v>0</v>
      </c>
      <c r="Y19" s="166">
        <f t="shared" si="1"/>
        <v>0</v>
      </c>
      <c r="Z19" s="163">
        <f t="shared" si="5"/>
        <v>0</v>
      </c>
      <c r="AA19" s="313">
        <v>5214</v>
      </c>
      <c r="AB19" s="314" t="s">
        <v>1016</v>
      </c>
    </row>
    <row r="20" spans="1:28" x14ac:dyDescent="0.2">
      <c r="A20" s="494"/>
      <c r="B20" s="724"/>
      <c r="C20" s="725"/>
      <c r="D20" s="725"/>
      <c r="E20" s="686"/>
      <c r="F20" s="687"/>
      <c r="G20" s="687"/>
      <c r="H20" s="686"/>
      <c r="I20" s="687"/>
      <c r="J20" s="687"/>
      <c r="K20" s="687"/>
      <c r="L20" s="495"/>
      <c r="M20" s="164" t="str">
        <f t="shared" ca="1" si="0"/>
        <v/>
      </c>
      <c r="N20" s="161"/>
      <c r="O20" s="317">
        <f t="shared" si="2"/>
        <v>0</v>
      </c>
      <c r="P20" s="168"/>
      <c r="Q20" s="629"/>
      <c r="R20" s="629"/>
      <c r="S20" s="629"/>
      <c r="T20" s="629"/>
      <c r="U20" s="188">
        <v>0</v>
      </c>
      <c r="V20" s="189">
        <f t="shared" ca="1" si="3"/>
        <v>0</v>
      </c>
      <c r="W20" s="195"/>
      <c r="X20" s="189">
        <f t="shared" si="4"/>
        <v>0</v>
      </c>
      <c r="Y20" s="166">
        <f t="shared" si="1"/>
        <v>0</v>
      </c>
      <c r="Z20" s="163">
        <f t="shared" si="5"/>
        <v>0</v>
      </c>
      <c r="AA20" s="313">
        <v>5533</v>
      </c>
      <c r="AB20" s="314" t="s">
        <v>1016</v>
      </c>
    </row>
    <row r="21" spans="1:28" x14ac:dyDescent="0.2">
      <c r="A21" s="494"/>
      <c r="B21" s="724"/>
      <c r="C21" s="725"/>
      <c r="D21" s="725"/>
      <c r="E21" s="686"/>
      <c r="F21" s="687"/>
      <c r="G21" s="687"/>
      <c r="H21" s="686"/>
      <c r="I21" s="687"/>
      <c r="J21" s="687"/>
      <c r="K21" s="687"/>
      <c r="L21" s="495"/>
      <c r="M21" s="164" t="str">
        <f t="shared" ref="M21:M23" ca="1" si="6">IF(A21&gt;0,IF(submit_date&gt;0,IF(submit_date-A21&gt;60,"disallow",IF(L21&gt;=75,IF(AND(N21="",TODAY()-submit_date&gt;30),"disallow","*")," ")),IF(TODAY()-A21&gt;60,"disallow",IF(L21&gt;=75,IF(AND(N21="",TODAY()-submit_date&gt;30),"disallow","*")," "))),IF(L21&gt;=75,IF(AND(N21="",TODAY()-submit_date&gt;30),"disallow","*"),""))</f>
        <v/>
      </c>
      <c r="N21" s="161"/>
      <c r="O21" s="317">
        <f t="shared" ref="O21:O23" si="7">IF(L21&gt;=75,1,0)</f>
        <v>0</v>
      </c>
      <c r="P21" s="168"/>
      <c r="Q21" s="629"/>
      <c r="R21" s="629"/>
      <c r="S21" s="629"/>
      <c r="T21" s="629"/>
      <c r="U21" s="188">
        <v>0</v>
      </c>
      <c r="V21" s="189">
        <f t="shared" ref="V21:V23" ca="1" si="8">IF(AND(M21="disallow",W21=0),L21,0)</f>
        <v>0</v>
      </c>
      <c r="W21" s="195"/>
      <c r="X21" s="189">
        <f t="shared" ref="X21:X23" si="9">IF(AND(U21&gt;0,W21&gt;0),U21,0)</f>
        <v>0</v>
      </c>
      <c r="Y21" s="166">
        <f t="shared" ref="Y21:Y23" si="10">IF(AND(A21&lt;Fiscal_Start_Date,submit_date-A21&lt;90),L21,0)</f>
        <v>0</v>
      </c>
      <c r="Z21" s="163">
        <f t="shared" ref="Z21:Z23" si="11">IFERROR(SEARCH("cell",B21,1),0)+IFERROR(SEARCH("phone",E21,1),0)+IFERROR(SEARCH("internet",E21,1),0)+IFERROR(SEARCH("cell",E21,1),0)+IFERROR(SEARCH("phone",B21,1),0)+IFERROR(SEARCH("internet",B21,1),0)</f>
        <v>0</v>
      </c>
      <c r="AA21" s="313">
        <v>5342</v>
      </c>
      <c r="AB21" s="314" t="s">
        <v>1016</v>
      </c>
    </row>
    <row r="22" spans="1:28" x14ac:dyDescent="0.2">
      <c r="A22" s="494"/>
      <c r="B22" s="724"/>
      <c r="C22" s="725"/>
      <c r="D22" s="725"/>
      <c r="E22" s="686"/>
      <c r="F22" s="687"/>
      <c r="G22" s="687"/>
      <c r="H22" s="686"/>
      <c r="I22" s="687"/>
      <c r="J22" s="687"/>
      <c r="K22" s="687"/>
      <c r="L22" s="495"/>
      <c r="M22" s="164" t="str">
        <f t="shared" ca="1" si="6"/>
        <v/>
      </c>
      <c r="N22" s="161"/>
      <c r="O22" s="317">
        <f t="shared" si="7"/>
        <v>0</v>
      </c>
      <c r="P22" s="168"/>
      <c r="Q22" s="629"/>
      <c r="R22" s="629"/>
      <c r="S22" s="629"/>
      <c r="T22" s="629"/>
      <c r="U22" s="188">
        <v>0</v>
      </c>
      <c r="V22" s="189">
        <f t="shared" ca="1" si="8"/>
        <v>0</v>
      </c>
      <c r="W22" s="195"/>
      <c r="X22" s="189">
        <f t="shared" si="9"/>
        <v>0</v>
      </c>
      <c r="Y22" s="166">
        <f t="shared" si="10"/>
        <v>0</v>
      </c>
      <c r="Z22" s="163">
        <f t="shared" si="11"/>
        <v>0</v>
      </c>
      <c r="AA22" s="313">
        <v>5686</v>
      </c>
      <c r="AB22" s="314" t="s">
        <v>1016</v>
      </c>
    </row>
    <row r="23" spans="1:28" x14ac:dyDescent="0.2">
      <c r="A23" s="494"/>
      <c r="B23" s="724"/>
      <c r="C23" s="725"/>
      <c r="D23" s="725"/>
      <c r="E23" s="686"/>
      <c r="F23" s="687"/>
      <c r="G23" s="687"/>
      <c r="H23" s="686"/>
      <c r="I23" s="687"/>
      <c r="J23" s="687"/>
      <c r="K23" s="687"/>
      <c r="L23" s="495"/>
      <c r="M23" s="164" t="str">
        <f t="shared" ca="1" si="6"/>
        <v/>
      </c>
      <c r="N23" s="161"/>
      <c r="O23" s="317">
        <f t="shared" si="7"/>
        <v>0</v>
      </c>
      <c r="P23" s="169"/>
      <c r="Q23" s="629"/>
      <c r="R23" s="629"/>
      <c r="S23" s="629"/>
      <c r="T23" s="629"/>
      <c r="U23" s="188">
        <v>0</v>
      </c>
      <c r="V23" s="189">
        <f t="shared" ca="1" si="8"/>
        <v>0</v>
      </c>
      <c r="W23" s="195"/>
      <c r="X23" s="189">
        <f t="shared" si="9"/>
        <v>0</v>
      </c>
      <c r="Y23" s="166">
        <f t="shared" si="10"/>
        <v>0</v>
      </c>
      <c r="Z23" s="163">
        <f t="shared" si="11"/>
        <v>0</v>
      </c>
      <c r="AA23" s="313">
        <v>5594</v>
      </c>
      <c r="AB23" s="314" t="s">
        <v>1017</v>
      </c>
    </row>
    <row r="24" spans="1:28" x14ac:dyDescent="0.2">
      <c r="A24" s="494"/>
      <c r="B24" s="724"/>
      <c r="C24" s="725"/>
      <c r="D24" s="725"/>
      <c r="E24" s="686"/>
      <c r="F24" s="687"/>
      <c r="G24" s="687"/>
      <c r="H24" s="686"/>
      <c r="I24" s="687"/>
      <c r="J24" s="687"/>
      <c r="K24" s="687"/>
      <c r="L24" s="495"/>
      <c r="M24" s="164" t="str">
        <f t="shared" ca="1" si="0"/>
        <v/>
      </c>
      <c r="N24" s="161"/>
      <c r="O24" s="317">
        <f t="shared" si="2"/>
        <v>0</v>
      </c>
      <c r="P24" s="168"/>
      <c r="Q24" s="629"/>
      <c r="R24" s="629"/>
      <c r="S24" s="629"/>
      <c r="T24" s="629"/>
      <c r="U24" s="188">
        <v>0</v>
      </c>
      <c r="V24" s="189">
        <f t="shared" ca="1" si="3"/>
        <v>0</v>
      </c>
      <c r="W24" s="195"/>
      <c r="X24" s="189">
        <f t="shared" si="4"/>
        <v>0</v>
      </c>
      <c r="Y24" s="166">
        <f t="shared" si="1"/>
        <v>0</v>
      </c>
      <c r="Z24" s="163">
        <f t="shared" si="5"/>
        <v>0</v>
      </c>
      <c r="AA24" s="313">
        <v>5342</v>
      </c>
      <c r="AB24" s="314" t="s">
        <v>1016</v>
      </c>
    </row>
    <row r="25" spans="1:28" x14ac:dyDescent="0.2">
      <c r="A25" s="494"/>
      <c r="B25" s="724"/>
      <c r="C25" s="725"/>
      <c r="D25" s="725"/>
      <c r="E25" s="686"/>
      <c r="F25" s="687"/>
      <c r="G25" s="687"/>
      <c r="H25" s="686"/>
      <c r="I25" s="687"/>
      <c r="J25" s="687"/>
      <c r="K25" s="687"/>
      <c r="L25" s="495"/>
      <c r="M25" s="164" t="str">
        <f t="shared" ca="1" si="0"/>
        <v/>
      </c>
      <c r="N25" s="161"/>
      <c r="O25" s="317">
        <f t="shared" si="2"/>
        <v>0</v>
      </c>
      <c r="P25" s="168"/>
      <c r="Q25" s="629"/>
      <c r="R25" s="629"/>
      <c r="S25" s="629"/>
      <c r="T25" s="629"/>
      <c r="U25" s="188">
        <v>0</v>
      </c>
      <c r="V25" s="189">
        <f t="shared" ca="1" si="3"/>
        <v>0</v>
      </c>
      <c r="W25" s="195"/>
      <c r="X25" s="189">
        <f t="shared" si="4"/>
        <v>0</v>
      </c>
      <c r="Y25" s="166">
        <f t="shared" si="1"/>
        <v>0</v>
      </c>
      <c r="Z25" s="163">
        <f t="shared" si="5"/>
        <v>0</v>
      </c>
      <c r="AA25" s="313">
        <v>5686</v>
      </c>
      <c r="AB25" s="314" t="s">
        <v>1016</v>
      </c>
    </row>
    <row r="26" spans="1:28" x14ac:dyDescent="0.2">
      <c r="A26" s="494"/>
      <c r="B26" s="724"/>
      <c r="C26" s="725"/>
      <c r="D26" s="725"/>
      <c r="E26" s="686"/>
      <c r="F26" s="687"/>
      <c r="G26" s="687"/>
      <c r="H26" s="686"/>
      <c r="I26" s="687"/>
      <c r="J26" s="687"/>
      <c r="K26" s="687"/>
      <c r="L26" s="495"/>
      <c r="M26" s="164" t="str">
        <f t="shared" ca="1" si="0"/>
        <v/>
      </c>
      <c r="N26" s="161"/>
      <c r="O26" s="317">
        <f t="shared" si="2"/>
        <v>0</v>
      </c>
      <c r="P26" s="169"/>
      <c r="Q26" s="629"/>
      <c r="R26" s="629"/>
      <c r="S26" s="629"/>
      <c r="T26" s="629"/>
      <c r="U26" s="188">
        <v>0</v>
      </c>
      <c r="V26" s="189">
        <f t="shared" ca="1" si="3"/>
        <v>0</v>
      </c>
      <c r="W26" s="195"/>
      <c r="X26" s="189">
        <f t="shared" si="4"/>
        <v>0</v>
      </c>
      <c r="Y26" s="166">
        <f t="shared" si="1"/>
        <v>0</v>
      </c>
      <c r="Z26" s="163">
        <f t="shared" si="5"/>
        <v>0</v>
      </c>
      <c r="AA26" s="313">
        <v>5594</v>
      </c>
      <c r="AB26" s="314" t="s">
        <v>1017</v>
      </c>
    </row>
    <row r="27" spans="1:28" x14ac:dyDescent="0.2">
      <c r="A27" s="494"/>
      <c r="B27" s="724"/>
      <c r="C27" s="725"/>
      <c r="D27" s="725"/>
      <c r="E27" s="686"/>
      <c r="F27" s="687"/>
      <c r="G27" s="687"/>
      <c r="H27" s="686"/>
      <c r="I27" s="687"/>
      <c r="J27" s="687"/>
      <c r="K27" s="687"/>
      <c r="L27" s="495"/>
      <c r="M27" s="164" t="str">
        <f t="shared" ca="1" si="0"/>
        <v/>
      </c>
      <c r="N27" s="161"/>
      <c r="O27" s="317">
        <f t="shared" si="2"/>
        <v>0</v>
      </c>
      <c r="P27" s="168"/>
      <c r="Q27" s="629"/>
      <c r="R27" s="629"/>
      <c r="S27" s="629"/>
      <c r="T27" s="629"/>
      <c r="U27" s="188">
        <v>0</v>
      </c>
      <c r="V27" s="189">
        <f t="shared" ca="1" si="3"/>
        <v>0</v>
      </c>
      <c r="W27" s="195"/>
      <c r="X27" s="189">
        <f t="shared" si="4"/>
        <v>0</v>
      </c>
      <c r="Y27" s="166">
        <f t="shared" si="1"/>
        <v>0</v>
      </c>
      <c r="Z27" s="163">
        <f t="shared" si="5"/>
        <v>0</v>
      </c>
      <c r="AA27" s="313">
        <v>5139</v>
      </c>
      <c r="AB27" s="314" t="s">
        <v>1018</v>
      </c>
    </row>
    <row r="28" spans="1:28" x14ac:dyDescent="0.2">
      <c r="A28" s="494"/>
      <c r="B28" s="724"/>
      <c r="C28" s="725"/>
      <c r="D28" s="725"/>
      <c r="E28" s="686"/>
      <c r="F28" s="687"/>
      <c r="G28" s="687"/>
      <c r="H28" s="686"/>
      <c r="I28" s="687"/>
      <c r="J28" s="687"/>
      <c r="K28" s="687"/>
      <c r="L28" s="495"/>
      <c r="M28" s="164" t="str">
        <f t="shared" ref="M28:M32" ca="1" si="12">IF(A28&gt;0,IF(submit_date&gt;0,IF(submit_date-A28&gt;60,"disallow",IF(L28&gt;=75,IF(AND(N28="",TODAY()-submit_date&gt;30),"disallow","*")," ")),IF(TODAY()-A28&gt;60,"disallow",IF(L28&gt;=75,IF(AND(N28="",TODAY()-submit_date&gt;30),"disallow","*")," "))),IF(L28&gt;=75,IF(AND(N28="",TODAY()-submit_date&gt;30),"disallow","*"),""))</f>
        <v/>
      </c>
      <c r="N28" s="161"/>
      <c r="O28" s="317">
        <f t="shared" ref="O28:O32" si="13">IF(L28&gt;=75,1,0)</f>
        <v>0</v>
      </c>
      <c r="P28" s="168"/>
      <c r="Q28" s="629"/>
      <c r="R28" s="629"/>
      <c r="S28" s="629"/>
      <c r="T28" s="629"/>
      <c r="U28" s="188">
        <v>0</v>
      </c>
      <c r="V28" s="189">
        <f t="shared" ref="V28:V32" ca="1" si="14">IF(AND(M28="disallow",W28=0),L28,0)</f>
        <v>0</v>
      </c>
      <c r="W28" s="195"/>
      <c r="X28" s="189">
        <f t="shared" ref="X28:X32" si="15">IF(AND(U28&gt;0,W28&gt;0),U28,0)</f>
        <v>0</v>
      </c>
      <c r="Y28" s="166">
        <f t="shared" ref="Y28:Y32" si="16">IF(AND(A28&lt;Fiscal_Start_Date,submit_date-A28&lt;90),L28,0)</f>
        <v>0</v>
      </c>
      <c r="Z28" s="163">
        <f t="shared" ref="Z28:Z32" si="17">IFERROR(SEARCH("cell",B28,1),0)+IFERROR(SEARCH("phone",E28,1),0)+IFERROR(SEARCH("internet",E28,1),0)+IFERROR(SEARCH("cell",E28,1),0)+IFERROR(SEARCH("phone",B28,1),0)+IFERROR(SEARCH("internet",B28,1),0)</f>
        <v>0</v>
      </c>
      <c r="AA28" s="313">
        <v>5533</v>
      </c>
      <c r="AB28" s="314" t="s">
        <v>1016</v>
      </c>
    </row>
    <row r="29" spans="1:28" x14ac:dyDescent="0.2">
      <c r="A29" s="494"/>
      <c r="B29" s="724"/>
      <c r="C29" s="725"/>
      <c r="D29" s="725"/>
      <c r="E29" s="686"/>
      <c r="F29" s="687"/>
      <c r="G29" s="687"/>
      <c r="H29" s="686"/>
      <c r="I29" s="687"/>
      <c r="J29" s="687"/>
      <c r="K29" s="687"/>
      <c r="L29" s="495"/>
      <c r="M29" s="164" t="str">
        <f t="shared" ca="1" si="12"/>
        <v/>
      </c>
      <c r="N29" s="161"/>
      <c r="O29" s="317">
        <f t="shared" si="13"/>
        <v>0</v>
      </c>
      <c r="P29" s="168"/>
      <c r="Q29" s="629"/>
      <c r="R29" s="629"/>
      <c r="S29" s="629"/>
      <c r="T29" s="629"/>
      <c r="U29" s="188">
        <v>0</v>
      </c>
      <c r="V29" s="189">
        <f t="shared" ca="1" si="14"/>
        <v>0</v>
      </c>
      <c r="W29" s="195"/>
      <c r="X29" s="189">
        <f t="shared" si="15"/>
        <v>0</v>
      </c>
      <c r="Y29" s="166">
        <f t="shared" si="16"/>
        <v>0</v>
      </c>
      <c r="Z29" s="163">
        <f t="shared" si="17"/>
        <v>0</v>
      </c>
      <c r="AA29" s="313">
        <v>5342</v>
      </c>
      <c r="AB29" s="314" t="s">
        <v>1016</v>
      </c>
    </row>
    <row r="30" spans="1:28" x14ac:dyDescent="0.2">
      <c r="A30" s="494"/>
      <c r="B30" s="724"/>
      <c r="C30" s="725"/>
      <c r="D30" s="725"/>
      <c r="E30" s="686"/>
      <c r="F30" s="687"/>
      <c r="G30" s="687"/>
      <c r="H30" s="686"/>
      <c r="I30" s="687"/>
      <c r="J30" s="687"/>
      <c r="K30" s="687"/>
      <c r="L30" s="495"/>
      <c r="M30" s="164" t="str">
        <f t="shared" ca="1" si="12"/>
        <v/>
      </c>
      <c r="N30" s="161"/>
      <c r="O30" s="317">
        <f t="shared" si="13"/>
        <v>0</v>
      </c>
      <c r="P30" s="168"/>
      <c r="Q30" s="629"/>
      <c r="R30" s="629"/>
      <c r="S30" s="629"/>
      <c r="T30" s="629"/>
      <c r="U30" s="188">
        <v>0</v>
      </c>
      <c r="V30" s="189">
        <f t="shared" ca="1" si="14"/>
        <v>0</v>
      </c>
      <c r="W30" s="195"/>
      <c r="X30" s="189">
        <f t="shared" si="15"/>
        <v>0</v>
      </c>
      <c r="Y30" s="166">
        <f t="shared" si="16"/>
        <v>0</v>
      </c>
      <c r="Z30" s="163">
        <f t="shared" si="17"/>
        <v>0</v>
      </c>
      <c r="AA30" s="313">
        <v>5686</v>
      </c>
      <c r="AB30" s="314" t="s">
        <v>1016</v>
      </c>
    </row>
    <row r="31" spans="1:28" x14ac:dyDescent="0.2">
      <c r="A31" s="494"/>
      <c r="B31" s="724"/>
      <c r="C31" s="725"/>
      <c r="D31" s="725"/>
      <c r="E31" s="686"/>
      <c r="F31" s="687"/>
      <c r="G31" s="687"/>
      <c r="H31" s="686"/>
      <c r="I31" s="687"/>
      <c r="J31" s="687"/>
      <c r="K31" s="687"/>
      <c r="L31" s="495"/>
      <c r="M31" s="164" t="str">
        <f t="shared" ca="1" si="12"/>
        <v/>
      </c>
      <c r="N31" s="161"/>
      <c r="O31" s="317">
        <f t="shared" si="13"/>
        <v>0</v>
      </c>
      <c r="P31" s="169"/>
      <c r="Q31" s="629"/>
      <c r="R31" s="629"/>
      <c r="S31" s="629"/>
      <c r="T31" s="629"/>
      <c r="U31" s="188">
        <v>0</v>
      </c>
      <c r="V31" s="189">
        <f t="shared" ca="1" si="14"/>
        <v>0</v>
      </c>
      <c r="W31" s="195"/>
      <c r="X31" s="189">
        <f t="shared" si="15"/>
        <v>0</v>
      </c>
      <c r="Y31" s="166">
        <f t="shared" si="16"/>
        <v>0</v>
      </c>
      <c r="Z31" s="163">
        <f t="shared" si="17"/>
        <v>0</v>
      </c>
      <c r="AA31" s="313">
        <v>5594</v>
      </c>
      <c r="AB31" s="314" t="s">
        <v>1017</v>
      </c>
    </row>
    <row r="32" spans="1:28" x14ac:dyDescent="0.2">
      <c r="A32" s="494"/>
      <c r="B32" s="724"/>
      <c r="C32" s="725"/>
      <c r="D32" s="725"/>
      <c r="E32" s="686"/>
      <c r="F32" s="687"/>
      <c r="G32" s="687"/>
      <c r="H32" s="686"/>
      <c r="I32" s="687"/>
      <c r="J32" s="687"/>
      <c r="K32" s="687"/>
      <c r="L32" s="495"/>
      <c r="M32" s="164" t="str">
        <f t="shared" ca="1" si="12"/>
        <v/>
      </c>
      <c r="N32" s="161"/>
      <c r="O32" s="317">
        <f t="shared" si="13"/>
        <v>0</v>
      </c>
      <c r="P32" s="168"/>
      <c r="Q32" s="629"/>
      <c r="R32" s="629"/>
      <c r="S32" s="629"/>
      <c r="T32" s="629"/>
      <c r="U32" s="188">
        <v>0</v>
      </c>
      <c r="V32" s="189">
        <f t="shared" ca="1" si="14"/>
        <v>0</v>
      </c>
      <c r="W32" s="195"/>
      <c r="X32" s="189">
        <f t="shared" si="15"/>
        <v>0</v>
      </c>
      <c r="Y32" s="166">
        <f t="shared" si="16"/>
        <v>0</v>
      </c>
      <c r="Z32" s="163">
        <f t="shared" si="17"/>
        <v>0</v>
      </c>
      <c r="AA32" s="313">
        <v>5139</v>
      </c>
      <c r="AB32" s="314" t="s">
        <v>1018</v>
      </c>
    </row>
    <row r="33" spans="1:28" x14ac:dyDescent="0.2">
      <c r="A33" s="494"/>
      <c r="B33" s="724"/>
      <c r="C33" s="725"/>
      <c r="D33" s="725"/>
      <c r="E33" s="686"/>
      <c r="F33" s="687"/>
      <c r="G33" s="687"/>
      <c r="H33" s="686"/>
      <c r="I33" s="687"/>
      <c r="J33" s="687"/>
      <c r="K33" s="687"/>
      <c r="L33" s="495"/>
      <c r="M33" s="164" t="str">
        <f t="shared" ca="1" si="0"/>
        <v/>
      </c>
      <c r="N33" s="161"/>
      <c r="O33" s="317">
        <f t="shared" si="2"/>
        <v>0</v>
      </c>
      <c r="P33" s="168"/>
      <c r="Q33" s="629"/>
      <c r="R33" s="629"/>
      <c r="S33" s="629"/>
      <c r="T33" s="629"/>
      <c r="U33" s="188">
        <v>0</v>
      </c>
      <c r="V33" s="189">
        <f t="shared" ca="1" si="3"/>
        <v>0</v>
      </c>
      <c r="W33" s="195"/>
      <c r="X33" s="189">
        <f t="shared" si="4"/>
        <v>0</v>
      </c>
      <c r="Y33" s="166">
        <f t="shared" si="1"/>
        <v>0</v>
      </c>
      <c r="Z33" s="163">
        <f t="shared" si="5"/>
        <v>0</v>
      </c>
      <c r="AA33" s="313">
        <v>5533</v>
      </c>
      <c r="AB33" s="314" t="s">
        <v>1016</v>
      </c>
    </row>
    <row r="34" spans="1:28" x14ac:dyDescent="0.2">
      <c r="A34" s="494"/>
      <c r="B34" s="724"/>
      <c r="C34" s="725"/>
      <c r="D34" s="725"/>
      <c r="E34" s="686"/>
      <c r="F34" s="687"/>
      <c r="G34" s="687"/>
      <c r="H34" s="686"/>
      <c r="I34" s="687"/>
      <c r="J34" s="687"/>
      <c r="K34" s="687"/>
      <c r="L34" s="495"/>
      <c r="M34" s="164" t="str">
        <f t="shared" ca="1" si="0"/>
        <v/>
      </c>
      <c r="N34" s="161"/>
      <c r="O34" s="317">
        <f t="shared" si="2"/>
        <v>0</v>
      </c>
      <c r="P34" s="168"/>
      <c r="Q34" s="629"/>
      <c r="R34" s="629"/>
      <c r="S34" s="629"/>
      <c r="T34" s="629"/>
      <c r="U34" s="188">
        <v>0</v>
      </c>
      <c r="V34" s="189">
        <f t="shared" ca="1" si="3"/>
        <v>0</v>
      </c>
      <c r="W34" s="195"/>
      <c r="X34" s="189">
        <f t="shared" si="4"/>
        <v>0</v>
      </c>
      <c r="Y34" s="166">
        <f t="shared" si="1"/>
        <v>0</v>
      </c>
      <c r="Z34" s="163">
        <f t="shared" si="5"/>
        <v>0</v>
      </c>
      <c r="AA34" s="313">
        <v>5342</v>
      </c>
      <c r="AB34" s="314" t="s">
        <v>1016</v>
      </c>
    </row>
    <row r="35" spans="1:28" x14ac:dyDescent="0.2">
      <c r="A35" s="494"/>
      <c r="B35" s="724"/>
      <c r="C35" s="725"/>
      <c r="D35" s="725"/>
      <c r="E35" s="686"/>
      <c r="F35" s="687"/>
      <c r="G35" s="687"/>
      <c r="H35" s="686"/>
      <c r="I35" s="687"/>
      <c r="J35" s="687"/>
      <c r="K35" s="687"/>
      <c r="L35" s="495"/>
      <c r="M35" s="164" t="str">
        <f t="shared" ca="1" si="0"/>
        <v/>
      </c>
      <c r="N35" s="161"/>
      <c r="O35" s="317">
        <f t="shared" si="2"/>
        <v>0</v>
      </c>
      <c r="P35" s="168"/>
      <c r="Q35" s="629"/>
      <c r="R35" s="629"/>
      <c r="S35" s="629"/>
      <c r="T35" s="629"/>
      <c r="U35" s="188">
        <v>0</v>
      </c>
      <c r="V35" s="189">
        <f t="shared" ca="1" si="3"/>
        <v>0</v>
      </c>
      <c r="W35" s="195"/>
      <c r="X35" s="189">
        <f t="shared" si="4"/>
        <v>0</v>
      </c>
      <c r="Y35" s="166">
        <f t="shared" si="1"/>
        <v>0</v>
      </c>
      <c r="Z35" s="163">
        <f t="shared" si="5"/>
        <v>0</v>
      </c>
      <c r="AA35" s="313">
        <v>5686</v>
      </c>
      <c r="AB35" s="314" t="s">
        <v>1016</v>
      </c>
    </row>
    <row r="36" spans="1:28" x14ac:dyDescent="0.2">
      <c r="A36" s="494"/>
      <c r="B36" s="724"/>
      <c r="C36" s="725"/>
      <c r="D36" s="725"/>
      <c r="E36" s="686"/>
      <c r="F36" s="687"/>
      <c r="G36" s="687"/>
      <c r="H36" s="686"/>
      <c r="I36" s="687"/>
      <c r="J36" s="687"/>
      <c r="K36" s="687"/>
      <c r="L36" s="495"/>
      <c r="M36" s="164" t="str">
        <f t="shared" ca="1" si="0"/>
        <v/>
      </c>
      <c r="N36" s="161"/>
      <c r="O36" s="317">
        <f t="shared" si="2"/>
        <v>0</v>
      </c>
      <c r="P36" s="169"/>
      <c r="Q36" s="629"/>
      <c r="R36" s="629"/>
      <c r="S36" s="629"/>
      <c r="T36" s="629"/>
      <c r="U36" s="188">
        <v>0</v>
      </c>
      <c r="V36" s="189">
        <f t="shared" ca="1" si="3"/>
        <v>0</v>
      </c>
      <c r="W36" s="195"/>
      <c r="X36" s="189">
        <f t="shared" si="4"/>
        <v>0</v>
      </c>
      <c r="Y36" s="166">
        <f t="shared" si="1"/>
        <v>0</v>
      </c>
      <c r="Z36" s="163">
        <f t="shared" si="5"/>
        <v>0</v>
      </c>
      <c r="AA36" s="313">
        <v>5594</v>
      </c>
      <c r="AB36" s="314" t="s">
        <v>1017</v>
      </c>
    </row>
    <row r="37" spans="1:28" x14ac:dyDescent="0.2">
      <c r="A37" s="494"/>
      <c r="B37" s="724"/>
      <c r="C37" s="725"/>
      <c r="D37" s="725"/>
      <c r="E37" s="686"/>
      <c r="F37" s="687"/>
      <c r="G37" s="687"/>
      <c r="H37" s="686"/>
      <c r="I37" s="687"/>
      <c r="J37" s="687"/>
      <c r="K37" s="687"/>
      <c r="L37" s="495"/>
      <c r="M37" s="164" t="str">
        <f t="shared" ca="1" si="0"/>
        <v/>
      </c>
      <c r="N37" s="161"/>
      <c r="O37" s="317">
        <f t="shared" si="2"/>
        <v>0</v>
      </c>
      <c r="P37" s="168"/>
      <c r="Q37" s="629"/>
      <c r="R37" s="629"/>
      <c r="S37" s="629"/>
      <c r="T37" s="629"/>
      <c r="U37" s="188">
        <v>0</v>
      </c>
      <c r="V37" s="189">
        <f t="shared" ca="1" si="3"/>
        <v>0</v>
      </c>
      <c r="W37" s="195"/>
      <c r="X37" s="189">
        <f t="shared" si="4"/>
        <v>0</v>
      </c>
      <c r="Y37" s="166">
        <f t="shared" si="1"/>
        <v>0</v>
      </c>
      <c r="Z37" s="163">
        <f t="shared" si="5"/>
        <v>0</v>
      </c>
      <c r="AA37" s="313">
        <v>5139</v>
      </c>
      <c r="AB37" s="314" t="s">
        <v>1018</v>
      </c>
    </row>
    <row r="38" spans="1:28" x14ac:dyDescent="0.2">
      <c r="A38" s="494"/>
      <c r="B38" s="724"/>
      <c r="C38" s="725"/>
      <c r="D38" s="725"/>
      <c r="E38" s="686"/>
      <c r="F38" s="687"/>
      <c r="G38" s="687"/>
      <c r="H38" s="686"/>
      <c r="I38" s="687"/>
      <c r="J38" s="687"/>
      <c r="K38" s="687"/>
      <c r="L38" s="495"/>
      <c r="M38" s="164" t="str">
        <f t="shared" ca="1" si="0"/>
        <v/>
      </c>
      <c r="N38" s="161"/>
      <c r="O38" s="317">
        <f t="shared" si="2"/>
        <v>0</v>
      </c>
      <c r="P38" s="168"/>
      <c r="Q38" s="629"/>
      <c r="R38" s="629"/>
      <c r="S38" s="629"/>
      <c r="T38" s="629"/>
      <c r="U38" s="188">
        <v>0</v>
      </c>
      <c r="V38" s="189">
        <f t="shared" ca="1" si="3"/>
        <v>0</v>
      </c>
      <c r="W38" s="195"/>
      <c r="X38" s="189">
        <f t="shared" si="4"/>
        <v>0</v>
      </c>
      <c r="Y38" s="166">
        <f t="shared" si="1"/>
        <v>0</v>
      </c>
      <c r="Z38" s="163">
        <f t="shared" si="5"/>
        <v>0</v>
      </c>
      <c r="AA38" s="313">
        <v>5449</v>
      </c>
      <c r="AB38" s="314" t="s">
        <v>1016</v>
      </c>
    </row>
    <row r="39" spans="1:28" x14ac:dyDescent="0.2">
      <c r="A39" s="494"/>
      <c r="B39" s="724"/>
      <c r="C39" s="725"/>
      <c r="D39" s="725"/>
      <c r="E39" s="686"/>
      <c r="F39" s="687"/>
      <c r="G39" s="687"/>
      <c r="H39" s="686"/>
      <c r="I39" s="687"/>
      <c r="J39" s="687"/>
      <c r="K39" s="687"/>
      <c r="L39" s="495"/>
      <c r="M39" s="164" t="str">
        <f t="shared" ca="1" si="0"/>
        <v/>
      </c>
      <c r="N39" s="161"/>
      <c r="O39" s="317">
        <f t="shared" si="2"/>
        <v>0</v>
      </c>
      <c r="P39" s="168"/>
      <c r="Q39" s="629"/>
      <c r="R39" s="629"/>
      <c r="S39" s="629"/>
      <c r="T39" s="629"/>
      <c r="U39" s="188">
        <v>0</v>
      </c>
      <c r="V39" s="189">
        <f t="shared" ca="1" si="3"/>
        <v>0</v>
      </c>
      <c r="W39" s="195"/>
      <c r="X39" s="189">
        <f t="shared" si="4"/>
        <v>0</v>
      </c>
      <c r="Y39" s="166">
        <f t="shared" si="1"/>
        <v>0</v>
      </c>
      <c r="Z39" s="163">
        <f t="shared" si="5"/>
        <v>0</v>
      </c>
      <c r="AA39" s="313">
        <v>5442</v>
      </c>
      <c r="AB39" s="314" t="s">
        <v>1016</v>
      </c>
    </row>
    <row r="40" spans="1:28" x14ac:dyDescent="0.2">
      <c r="A40" s="494"/>
      <c r="B40" s="724"/>
      <c r="C40" s="725"/>
      <c r="D40" s="725"/>
      <c r="E40" s="686"/>
      <c r="F40" s="687"/>
      <c r="G40" s="687"/>
      <c r="H40" s="686"/>
      <c r="I40" s="687"/>
      <c r="J40" s="687"/>
      <c r="K40" s="687"/>
      <c r="L40" s="495"/>
      <c r="M40" s="164" t="str">
        <f t="shared" ca="1" si="0"/>
        <v/>
      </c>
      <c r="N40" s="161"/>
      <c r="O40" s="317">
        <f t="shared" si="2"/>
        <v>0</v>
      </c>
      <c r="P40" s="168"/>
      <c r="Q40" s="629"/>
      <c r="R40" s="629"/>
      <c r="S40" s="629"/>
      <c r="T40" s="629"/>
      <c r="U40" s="188">
        <v>0</v>
      </c>
      <c r="V40" s="189">
        <f t="shared" ca="1" si="3"/>
        <v>0</v>
      </c>
      <c r="W40" s="195"/>
      <c r="X40" s="189">
        <f t="shared" si="4"/>
        <v>0</v>
      </c>
      <c r="Y40" s="166">
        <f t="shared" si="1"/>
        <v>0</v>
      </c>
      <c r="Z40" s="163">
        <f t="shared" si="5"/>
        <v>0</v>
      </c>
      <c r="AA40" s="313">
        <v>5647</v>
      </c>
      <c r="AB40" s="314" t="s">
        <v>1016</v>
      </c>
    </row>
    <row r="41" spans="1:28" x14ac:dyDescent="0.2">
      <c r="A41" s="494"/>
      <c r="B41" s="724"/>
      <c r="C41" s="725"/>
      <c r="D41" s="725"/>
      <c r="E41" s="686"/>
      <c r="F41" s="687"/>
      <c r="G41" s="687"/>
      <c r="H41" s="686"/>
      <c r="I41" s="687"/>
      <c r="J41" s="687"/>
      <c r="K41" s="687"/>
      <c r="L41" s="495"/>
      <c r="M41" s="164" t="str">
        <f t="shared" ca="1" si="0"/>
        <v/>
      </c>
      <c r="N41" s="161"/>
      <c r="O41" s="317">
        <f t="shared" si="2"/>
        <v>0</v>
      </c>
      <c r="P41" s="168"/>
      <c r="Q41" s="629"/>
      <c r="R41" s="629"/>
      <c r="S41" s="629"/>
      <c r="T41" s="629"/>
      <c r="U41" s="188">
        <v>0</v>
      </c>
      <c r="V41" s="189">
        <f t="shared" ca="1" si="3"/>
        <v>0</v>
      </c>
      <c r="W41" s="195"/>
      <c r="X41" s="189">
        <f t="shared" si="4"/>
        <v>0</v>
      </c>
      <c r="Y41" s="166">
        <f t="shared" si="1"/>
        <v>0</v>
      </c>
      <c r="Z41" s="163">
        <f t="shared" si="5"/>
        <v>0</v>
      </c>
      <c r="AA41" s="313">
        <v>5260</v>
      </c>
      <c r="AB41" s="314" t="s">
        <v>1016</v>
      </c>
    </row>
    <row r="42" spans="1:28" x14ac:dyDescent="0.2">
      <c r="A42" s="494"/>
      <c r="B42" s="724"/>
      <c r="C42" s="725"/>
      <c r="D42" s="725"/>
      <c r="E42" s="686"/>
      <c r="F42" s="687"/>
      <c r="G42" s="687"/>
      <c r="H42" s="686"/>
      <c r="I42" s="687"/>
      <c r="J42" s="687"/>
      <c r="K42" s="687"/>
      <c r="L42" s="495"/>
      <c r="M42" s="164" t="str">
        <f t="shared" ca="1" si="0"/>
        <v/>
      </c>
      <c r="N42" s="161"/>
      <c r="O42" s="317">
        <f t="shared" si="2"/>
        <v>0</v>
      </c>
      <c r="P42" s="168"/>
      <c r="Q42" s="629"/>
      <c r="R42" s="629"/>
      <c r="S42" s="629"/>
      <c r="T42" s="629"/>
      <c r="U42" s="188">
        <v>0</v>
      </c>
      <c r="V42" s="189">
        <f t="shared" ca="1" si="3"/>
        <v>0</v>
      </c>
      <c r="W42" s="195"/>
      <c r="X42" s="189">
        <f t="shared" si="4"/>
        <v>0</v>
      </c>
      <c r="Y42" s="166">
        <f t="shared" si="1"/>
        <v>0</v>
      </c>
      <c r="Z42" s="163">
        <f t="shared" si="5"/>
        <v>0</v>
      </c>
      <c r="AA42" s="313">
        <v>5391</v>
      </c>
      <c r="AB42" s="314" t="s">
        <v>1019</v>
      </c>
    </row>
    <row r="43" spans="1:28" x14ac:dyDescent="0.2">
      <c r="A43" s="494"/>
      <c r="B43" s="724"/>
      <c r="C43" s="725"/>
      <c r="D43" s="725"/>
      <c r="E43" s="686"/>
      <c r="F43" s="687"/>
      <c r="G43" s="687"/>
      <c r="H43" s="686"/>
      <c r="I43" s="687"/>
      <c r="J43" s="687"/>
      <c r="K43" s="687"/>
      <c r="L43" s="495"/>
      <c r="M43" s="164" t="str">
        <f t="shared" ca="1" si="0"/>
        <v/>
      </c>
      <c r="N43" s="161"/>
      <c r="O43" s="317">
        <f t="shared" si="2"/>
        <v>0</v>
      </c>
      <c r="P43" s="168"/>
      <c r="Q43" s="629"/>
      <c r="R43" s="629"/>
      <c r="S43" s="629"/>
      <c r="T43" s="629"/>
      <c r="U43" s="188">
        <v>0</v>
      </c>
      <c r="V43" s="189">
        <f t="shared" ca="1" si="3"/>
        <v>0</v>
      </c>
      <c r="W43" s="195"/>
      <c r="X43" s="189">
        <f t="shared" si="4"/>
        <v>0</v>
      </c>
      <c r="Y43" s="166">
        <f t="shared" si="1"/>
        <v>0</v>
      </c>
      <c r="Z43" s="163">
        <f t="shared" si="5"/>
        <v>0</v>
      </c>
      <c r="AA43" s="313">
        <v>5563</v>
      </c>
      <c r="AB43" s="314" t="s">
        <v>1021</v>
      </c>
    </row>
    <row r="44" spans="1:28" x14ac:dyDescent="0.2">
      <c r="A44" s="494"/>
      <c r="B44" s="724"/>
      <c r="C44" s="725"/>
      <c r="D44" s="725"/>
      <c r="E44" s="686"/>
      <c r="F44" s="687"/>
      <c r="G44" s="687"/>
      <c r="H44" s="686"/>
      <c r="I44" s="687"/>
      <c r="J44" s="687"/>
      <c r="K44" s="687"/>
      <c r="L44" s="495"/>
      <c r="M44" s="164" t="str">
        <f t="shared" ca="1" si="0"/>
        <v/>
      </c>
      <c r="N44" s="161"/>
      <c r="O44" s="317">
        <f t="shared" si="2"/>
        <v>0</v>
      </c>
      <c r="P44" s="168"/>
      <c r="Q44" s="629"/>
      <c r="R44" s="629"/>
      <c r="S44" s="629"/>
      <c r="T44" s="629"/>
      <c r="U44" s="188">
        <v>0</v>
      </c>
      <c r="V44" s="189">
        <f t="shared" ca="1" si="3"/>
        <v>0</v>
      </c>
      <c r="W44" s="195"/>
      <c r="X44" s="189">
        <f t="shared" si="4"/>
        <v>0</v>
      </c>
      <c r="Y44" s="166">
        <f t="shared" si="1"/>
        <v>0</v>
      </c>
      <c r="Z44" s="163">
        <f t="shared" si="5"/>
        <v>0</v>
      </c>
      <c r="AA44" s="313">
        <v>5428</v>
      </c>
      <c r="AB44" s="314" t="s">
        <v>1020</v>
      </c>
    </row>
    <row r="45" spans="1:28" x14ac:dyDescent="0.2">
      <c r="A45" s="494"/>
      <c r="B45" s="724"/>
      <c r="C45" s="725"/>
      <c r="D45" s="725"/>
      <c r="E45" s="686"/>
      <c r="F45" s="687"/>
      <c r="G45" s="687"/>
      <c r="H45" s="686"/>
      <c r="I45" s="687"/>
      <c r="J45" s="687"/>
      <c r="K45" s="687"/>
      <c r="L45" s="495"/>
      <c r="M45" s="164" t="str">
        <f t="shared" ca="1" si="0"/>
        <v/>
      </c>
      <c r="N45" s="161"/>
      <c r="O45" s="317">
        <f t="shared" si="2"/>
        <v>0</v>
      </c>
      <c r="P45" s="168"/>
      <c r="Q45" s="629"/>
      <c r="R45" s="629"/>
      <c r="S45" s="629"/>
      <c r="T45" s="629"/>
      <c r="U45" s="188">
        <v>0</v>
      </c>
      <c r="V45" s="189">
        <f t="shared" ca="1" si="3"/>
        <v>0</v>
      </c>
      <c r="W45" s="195"/>
      <c r="X45" s="189">
        <f t="shared" si="4"/>
        <v>0</v>
      </c>
      <c r="Y45" s="166">
        <f t="shared" si="1"/>
        <v>0</v>
      </c>
      <c r="Z45" s="163">
        <f t="shared" si="5"/>
        <v>0</v>
      </c>
      <c r="AA45" s="315">
        <v>5884</v>
      </c>
      <c r="AB45" s="316" t="s">
        <v>1022</v>
      </c>
    </row>
    <row r="46" spans="1:28" x14ac:dyDescent="0.2">
      <c r="A46" s="494"/>
      <c r="B46" s="724"/>
      <c r="C46" s="725"/>
      <c r="D46" s="725"/>
      <c r="E46" s="686"/>
      <c r="F46" s="687"/>
      <c r="G46" s="687"/>
      <c r="H46" s="686"/>
      <c r="I46" s="687"/>
      <c r="J46" s="687"/>
      <c r="K46" s="687"/>
      <c r="L46" s="495"/>
      <c r="M46" s="164" t="str">
        <f t="shared" ca="1" si="0"/>
        <v/>
      </c>
      <c r="N46" s="161"/>
      <c r="O46" s="317">
        <f t="shared" si="2"/>
        <v>0</v>
      </c>
      <c r="P46" s="168"/>
      <c r="Q46" s="629"/>
      <c r="R46" s="629"/>
      <c r="S46" s="629"/>
      <c r="T46" s="629"/>
      <c r="U46" s="188">
        <v>0</v>
      </c>
      <c r="V46" s="189">
        <f t="shared" ca="1" si="3"/>
        <v>0</v>
      </c>
      <c r="W46" s="195"/>
      <c r="X46" s="189">
        <f t="shared" si="4"/>
        <v>0</v>
      </c>
      <c r="Y46" s="166">
        <f t="shared" si="1"/>
        <v>0</v>
      </c>
      <c r="Z46" s="163">
        <f t="shared" si="5"/>
        <v>0</v>
      </c>
    </row>
    <row r="47" spans="1:28" x14ac:dyDescent="0.2">
      <c r="A47" s="494"/>
      <c r="B47" s="724"/>
      <c r="C47" s="725"/>
      <c r="D47" s="725"/>
      <c r="E47" s="686"/>
      <c r="F47" s="687"/>
      <c r="G47" s="687"/>
      <c r="H47" s="686"/>
      <c r="I47" s="687"/>
      <c r="J47" s="687"/>
      <c r="K47" s="687"/>
      <c r="L47" s="495"/>
      <c r="M47" s="164" t="str">
        <f t="shared" ca="1" si="0"/>
        <v/>
      </c>
      <c r="N47" s="161"/>
      <c r="O47" s="317">
        <f t="shared" si="2"/>
        <v>0</v>
      </c>
      <c r="P47" s="168"/>
      <c r="Q47" s="629"/>
      <c r="R47" s="629"/>
      <c r="S47" s="629"/>
      <c r="T47" s="629"/>
      <c r="U47" s="188">
        <v>0</v>
      </c>
      <c r="V47" s="189">
        <f t="shared" ca="1" si="3"/>
        <v>0</v>
      </c>
      <c r="W47" s="195"/>
      <c r="X47" s="189">
        <f t="shared" si="4"/>
        <v>0</v>
      </c>
      <c r="Y47" s="166">
        <f t="shared" si="1"/>
        <v>0</v>
      </c>
      <c r="Z47" s="163">
        <f t="shared" si="5"/>
        <v>0</v>
      </c>
    </row>
    <row r="48" spans="1:28" x14ac:dyDescent="0.2">
      <c r="A48" s="494"/>
      <c r="B48" s="724"/>
      <c r="C48" s="725"/>
      <c r="D48" s="725"/>
      <c r="E48" s="686"/>
      <c r="F48" s="687"/>
      <c r="G48" s="687"/>
      <c r="H48" s="686"/>
      <c r="I48" s="687"/>
      <c r="J48" s="687"/>
      <c r="K48" s="687"/>
      <c r="L48" s="495"/>
      <c r="M48" s="164" t="str">
        <f t="shared" ca="1" si="0"/>
        <v/>
      </c>
      <c r="N48" s="161"/>
      <c r="O48" s="317">
        <f t="shared" si="2"/>
        <v>0</v>
      </c>
      <c r="P48" s="168"/>
      <c r="Q48" s="629"/>
      <c r="R48" s="629"/>
      <c r="S48" s="629"/>
      <c r="T48" s="629"/>
      <c r="U48" s="188">
        <v>0</v>
      </c>
      <c r="V48" s="189">
        <f t="shared" ca="1" si="3"/>
        <v>0</v>
      </c>
      <c r="W48" s="195"/>
      <c r="X48" s="189">
        <f t="shared" si="4"/>
        <v>0</v>
      </c>
      <c r="Y48" s="166">
        <f t="shared" si="1"/>
        <v>0</v>
      </c>
      <c r="Z48" s="163">
        <f t="shared" si="5"/>
        <v>0</v>
      </c>
    </row>
    <row r="49" spans="1:26" x14ac:dyDescent="0.2">
      <c r="A49" s="494"/>
      <c r="B49" s="724"/>
      <c r="C49" s="725"/>
      <c r="D49" s="725"/>
      <c r="E49" s="686"/>
      <c r="F49" s="687"/>
      <c r="G49" s="687"/>
      <c r="H49" s="686"/>
      <c r="I49" s="687"/>
      <c r="J49" s="687"/>
      <c r="K49" s="687"/>
      <c r="L49" s="495"/>
      <c r="M49" s="164" t="str">
        <f t="shared" ca="1" si="0"/>
        <v/>
      </c>
      <c r="N49" s="161"/>
      <c r="O49" s="317">
        <f t="shared" si="2"/>
        <v>0</v>
      </c>
      <c r="P49" s="168"/>
      <c r="Q49" s="726"/>
      <c r="R49" s="727"/>
      <c r="S49" s="727"/>
      <c r="T49" s="728"/>
      <c r="U49" s="188">
        <v>0</v>
      </c>
      <c r="V49" s="189">
        <f t="shared" ca="1" si="3"/>
        <v>0</v>
      </c>
      <c r="W49" s="195"/>
      <c r="X49" s="189">
        <f t="shared" si="4"/>
        <v>0</v>
      </c>
      <c r="Y49" s="166">
        <f t="shared" si="1"/>
        <v>0</v>
      </c>
      <c r="Z49" s="163">
        <f t="shared" si="5"/>
        <v>0</v>
      </c>
    </row>
    <row r="50" spans="1:26" x14ac:dyDescent="0.2">
      <c r="A50" s="494"/>
      <c r="B50" s="724"/>
      <c r="C50" s="725"/>
      <c r="D50" s="725"/>
      <c r="E50" s="686"/>
      <c r="F50" s="687"/>
      <c r="G50" s="687"/>
      <c r="H50" s="686"/>
      <c r="I50" s="687"/>
      <c r="J50" s="687"/>
      <c r="K50" s="687"/>
      <c r="L50" s="495"/>
      <c r="M50" s="164" t="str">
        <f t="shared" ca="1" si="0"/>
        <v/>
      </c>
      <c r="N50" s="161"/>
      <c r="O50" s="317">
        <f t="shared" si="2"/>
        <v>0</v>
      </c>
      <c r="P50" s="168"/>
      <c r="Q50" s="726"/>
      <c r="R50" s="727"/>
      <c r="S50" s="727"/>
      <c r="T50" s="728"/>
      <c r="U50" s="188">
        <v>0</v>
      </c>
      <c r="V50" s="189">
        <f t="shared" ca="1" si="3"/>
        <v>0</v>
      </c>
      <c r="W50" s="195"/>
      <c r="X50" s="189">
        <f t="shared" si="4"/>
        <v>0</v>
      </c>
      <c r="Y50" s="166">
        <f t="shared" si="1"/>
        <v>0</v>
      </c>
      <c r="Z50" s="163">
        <f t="shared" si="5"/>
        <v>0</v>
      </c>
    </row>
    <row r="51" spans="1:26" x14ac:dyDescent="0.2">
      <c r="A51" s="494"/>
      <c r="B51" s="724"/>
      <c r="C51" s="725"/>
      <c r="D51" s="725"/>
      <c r="E51" s="686"/>
      <c r="F51" s="687"/>
      <c r="G51" s="687"/>
      <c r="H51" s="686"/>
      <c r="I51" s="687"/>
      <c r="J51" s="687"/>
      <c r="K51" s="687"/>
      <c r="L51" s="495"/>
      <c r="M51" s="164" t="str">
        <f t="shared" ca="1" si="0"/>
        <v/>
      </c>
      <c r="N51" s="161"/>
      <c r="O51" s="317">
        <f t="shared" si="2"/>
        <v>0</v>
      </c>
      <c r="P51" s="168"/>
      <c r="Q51" s="726"/>
      <c r="R51" s="727"/>
      <c r="S51" s="727"/>
      <c r="T51" s="728"/>
      <c r="U51" s="188">
        <v>0</v>
      </c>
      <c r="V51" s="189">
        <f t="shared" ca="1" si="3"/>
        <v>0</v>
      </c>
      <c r="W51" s="195"/>
      <c r="X51" s="189">
        <f t="shared" si="4"/>
        <v>0</v>
      </c>
      <c r="Y51" s="166">
        <f t="shared" si="1"/>
        <v>0</v>
      </c>
      <c r="Z51" s="163">
        <f t="shared" si="5"/>
        <v>0</v>
      </c>
    </row>
    <row r="52" spans="1:26" x14ac:dyDescent="0.2">
      <c r="A52" s="494"/>
      <c r="B52" s="724"/>
      <c r="C52" s="725"/>
      <c r="D52" s="725"/>
      <c r="E52" s="686"/>
      <c r="F52" s="687"/>
      <c r="G52" s="687"/>
      <c r="H52" s="686"/>
      <c r="I52" s="687"/>
      <c r="J52" s="687"/>
      <c r="K52" s="687"/>
      <c r="L52" s="495"/>
      <c r="M52" s="164" t="str">
        <f t="shared" ca="1" si="0"/>
        <v/>
      </c>
      <c r="N52" s="161"/>
      <c r="O52" s="317">
        <f t="shared" si="2"/>
        <v>0</v>
      </c>
      <c r="P52" s="168"/>
      <c r="Q52" s="629"/>
      <c r="R52" s="629"/>
      <c r="S52" s="629"/>
      <c r="T52" s="629"/>
      <c r="U52" s="188">
        <v>0</v>
      </c>
      <c r="V52" s="189">
        <f t="shared" ca="1" si="3"/>
        <v>0</v>
      </c>
      <c r="W52" s="195"/>
      <c r="X52" s="189">
        <f t="shared" si="4"/>
        <v>0</v>
      </c>
      <c r="Y52" s="166">
        <f t="shared" si="1"/>
        <v>0</v>
      </c>
      <c r="Z52" s="163">
        <f t="shared" si="5"/>
        <v>0</v>
      </c>
    </row>
    <row r="53" spans="1:26" x14ac:dyDescent="0.2">
      <c r="A53" s="494"/>
      <c r="B53" s="724"/>
      <c r="C53" s="725"/>
      <c r="D53" s="725"/>
      <c r="E53" s="686"/>
      <c r="F53" s="687"/>
      <c r="G53" s="687"/>
      <c r="H53" s="686"/>
      <c r="I53" s="687"/>
      <c r="J53" s="687"/>
      <c r="K53" s="687"/>
      <c r="L53" s="495"/>
      <c r="M53" s="164" t="str">
        <f t="shared" ca="1" si="0"/>
        <v/>
      </c>
      <c r="N53" s="161"/>
      <c r="O53" s="317">
        <f t="shared" si="2"/>
        <v>0</v>
      </c>
      <c r="P53" s="168"/>
      <c r="Q53" s="629"/>
      <c r="R53" s="629"/>
      <c r="S53" s="629"/>
      <c r="T53" s="629"/>
      <c r="U53" s="188">
        <v>0</v>
      </c>
      <c r="V53" s="189">
        <f t="shared" ca="1" si="3"/>
        <v>0</v>
      </c>
      <c r="W53" s="195"/>
      <c r="X53" s="189">
        <f t="shared" si="4"/>
        <v>0</v>
      </c>
      <c r="Y53" s="166">
        <f t="shared" si="1"/>
        <v>0</v>
      </c>
      <c r="Z53" s="163">
        <f t="shared" si="5"/>
        <v>0</v>
      </c>
    </row>
    <row r="54" spans="1:26" ht="13.5" thickBot="1" x14ac:dyDescent="0.25">
      <c r="K54" s="5" t="s">
        <v>51</v>
      </c>
      <c r="L54" s="47" t="str">
        <f>IF(M56&gt;3,SUM(L15:L53)-V54,"Please fill in")</f>
        <v>Please fill in</v>
      </c>
      <c r="N54" s="106">
        <f>COUNTIF(N16:N53,"x")</f>
        <v>0</v>
      </c>
      <c r="P54" s="106"/>
      <c r="Q54" s="696"/>
      <c r="R54" s="696"/>
      <c r="S54" s="696"/>
      <c r="T54" s="696"/>
      <c r="U54" s="163">
        <f>SUM(U15:U53)+X54</f>
        <v>0</v>
      </c>
      <c r="V54" s="163">
        <f ca="1">SUM(V16:V53)</f>
        <v>0</v>
      </c>
      <c r="W54" s="163">
        <f>COUNTA(W16:W53)</f>
        <v>0</v>
      </c>
      <c r="X54" s="163">
        <f>SUM(X16:X53)</f>
        <v>0</v>
      </c>
      <c r="Y54" s="206">
        <f>SUM(Y16:Y53)</f>
        <v>0</v>
      </c>
    </row>
    <row r="55" spans="1:26" ht="13.5" customHeight="1" thickTop="1" x14ac:dyDescent="0.3">
      <c r="A55" s="675" t="str">
        <f>IF(L55&gt;0,"DON’T FORGET TO ATTACH YOUR RECEIPT DOCUMENTATION TO THE EMAIL","")</f>
        <v/>
      </c>
      <c r="B55" s="675"/>
      <c r="C55" s="675"/>
      <c r="D55" s="675"/>
      <c r="E55" s="675"/>
      <c r="F55" s="675"/>
      <c r="G55" s="675"/>
      <c r="H55" s="450"/>
      <c r="K55" s="396" t="s">
        <v>1652</v>
      </c>
      <c r="L55" s="158">
        <f>IF(FundCode&lt;&gt;500,COUNT(L14:L51),IF(M56&gt;3,SUM(O15:O53),"the yellow spaces"))</f>
        <v>0</v>
      </c>
    </row>
    <row r="56" spans="1:26" ht="12.75" customHeight="1" x14ac:dyDescent="0.3">
      <c r="A56" s="675"/>
      <c r="B56" s="675"/>
      <c r="C56" s="675"/>
      <c r="D56" s="675"/>
      <c r="E56" s="675"/>
      <c r="F56" s="675"/>
      <c r="G56" s="675"/>
      <c r="H56" s="450"/>
      <c r="L56" s="285" t="str">
        <f>IF(L54="please fill in","yellow spaces","")</f>
        <v>yellow spaces</v>
      </c>
      <c r="M56" s="224">
        <f>Summary!O12</f>
        <v>1</v>
      </c>
    </row>
    <row r="57" spans="1:26" ht="12.75" customHeight="1" x14ac:dyDescent="0.3">
      <c r="A57" s="675"/>
      <c r="B57" s="675"/>
      <c r="C57" s="675"/>
      <c r="D57" s="675"/>
      <c r="E57" s="675"/>
      <c r="F57" s="675"/>
      <c r="G57" s="675"/>
      <c r="H57" s="450"/>
      <c r="K57" s="11" t="s">
        <v>45</v>
      </c>
      <c r="L57" s="45" t="str">
        <f>IF(M56&gt;3,L54+U54,"on summary page")</f>
        <v>on summary page</v>
      </c>
    </row>
    <row r="58" spans="1:26" ht="12.75" customHeight="1" x14ac:dyDescent="0.3">
      <c r="A58" s="675"/>
      <c r="B58" s="675"/>
      <c r="C58" s="675"/>
      <c r="D58" s="675"/>
      <c r="E58" s="675"/>
      <c r="F58" s="675"/>
      <c r="G58" s="675"/>
      <c r="H58" s="450"/>
    </row>
  </sheetData>
  <sheetProtection algorithmName="SHA-512" hashValue="wPB2Y5e0bQPbYfvXJ3DleSFvFbfWHU4IbzQV/0Sy8lp7quEawh6ZFchaXxbJG/C5K58KhQj+HJ5qFpFlBPvqzg==" saltValue="SWHJenqdDiNVHiWuNxhWYw==" spinCount="100000" sheet="1" objects="1" scenarios="1"/>
  <mergeCells count="183">
    <mergeCell ref="B53:D53"/>
    <mergeCell ref="E53:G53"/>
    <mergeCell ref="H53:K53"/>
    <mergeCell ref="B50:D50"/>
    <mergeCell ref="B19:D19"/>
    <mergeCell ref="E19:G19"/>
    <mergeCell ref="H19:K19"/>
    <mergeCell ref="B36:D36"/>
    <mergeCell ref="E36:G36"/>
    <mergeCell ref="H38:K38"/>
    <mergeCell ref="E45:G45"/>
    <mergeCell ref="H45:K45"/>
    <mergeCell ref="H46:K46"/>
    <mergeCell ref="B41:D41"/>
    <mergeCell ref="E41:G41"/>
    <mergeCell ref="H41:K41"/>
    <mergeCell ref="H42:K42"/>
    <mergeCell ref="B43:D43"/>
    <mergeCell ref="E43:G43"/>
    <mergeCell ref="E47:G47"/>
    <mergeCell ref="B47:D47"/>
    <mergeCell ref="H47:K47"/>
    <mergeCell ref="H44:K44"/>
    <mergeCell ref="B45:D45"/>
    <mergeCell ref="W13:W14"/>
    <mergeCell ref="E52:G52"/>
    <mergeCell ref="H52:K52"/>
    <mergeCell ref="H50:K50"/>
    <mergeCell ref="E50:G50"/>
    <mergeCell ref="B52:D52"/>
    <mergeCell ref="B38:D38"/>
    <mergeCell ref="E38:G38"/>
    <mergeCell ref="B48:D48"/>
    <mergeCell ref="E48:G48"/>
    <mergeCell ref="H48:K48"/>
    <mergeCell ref="B51:D51"/>
    <mergeCell ref="E51:G51"/>
    <mergeCell ref="B37:D37"/>
    <mergeCell ref="E33:G33"/>
    <mergeCell ref="H33:K33"/>
    <mergeCell ref="E35:G35"/>
    <mergeCell ref="H35:K35"/>
    <mergeCell ref="H43:K43"/>
    <mergeCell ref="B42:D42"/>
    <mergeCell ref="E42:G42"/>
    <mergeCell ref="E46:G46"/>
    <mergeCell ref="B35:D35"/>
    <mergeCell ref="B33:D33"/>
    <mergeCell ref="H18:K18"/>
    <mergeCell ref="B17:D17"/>
    <mergeCell ref="H13:K13"/>
    <mergeCell ref="H15:K15"/>
    <mergeCell ref="E37:G37"/>
    <mergeCell ref="H37:K37"/>
    <mergeCell ref="B30:D30"/>
    <mergeCell ref="E30:G30"/>
    <mergeCell ref="E18:G18"/>
    <mergeCell ref="E17:G17"/>
    <mergeCell ref="B18:D18"/>
    <mergeCell ref="B28:D28"/>
    <mergeCell ref="E28:G28"/>
    <mergeCell ref="B29:D29"/>
    <mergeCell ref="E29:G29"/>
    <mergeCell ref="H26:K26"/>
    <mergeCell ref="B39:D39"/>
    <mergeCell ref="E39:G39"/>
    <mergeCell ref="B40:D40"/>
    <mergeCell ref="E40:G40"/>
    <mergeCell ref="H40:K40"/>
    <mergeCell ref="H39:K39"/>
    <mergeCell ref="H36:K36"/>
    <mergeCell ref="B34:D34"/>
    <mergeCell ref="E34:G34"/>
    <mergeCell ref="H34:K34"/>
    <mergeCell ref="Y13:Y14"/>
    <mergeCell ref="Q49:T49"/>
    <mergeCell ref="H49:K49"/>
    <mergeCell ref="E49:G49"/>
    <mergeCell ref="B49:D49"/>
    <mergeCell ref="Q44:T44"/>
    <mergeCell ref="Q45:T45"/>
    <mergeCell ref="Q46:T46"/>
    <mergeCell ref="Q37:T37"/>
    <mergeCell ref="U13:U14"/>
    <mergeCell ref="Q14:T14"/>
    <mergeCell ref="Q16:T16"/>
    <mergeCell ref="Q17:T17"/>
    <mergeCell ref="Q18:T18"/>
    <mergeCell ref="P13:T13"/>
    <mergeCell ref="B46:D46"/>
    <mergeCell ref="B44:D44"/>
    <mergeCell ref="E44:G44"/>
    <mergeCell ref="Q19:T19"/>
    <mergeCell ref="Q33:T33"/>
    <mergeCell ref="Q34:T34"/>
    <mergeCell ref="Q35:T35"/>
    <mergeCell ref="Q36:T36"/>
    <mergeCell ref="B14:D14"/>
    <mergeCell ref="Q40:T40"/>
    <mergeCell ref="Q41:T41"/>
    <mergeCell ref="H16:K16"/>
    <mergeCell ref="Q54:T54"/>
    <mergeCell ref="V13:V14"/>
    <mergeCell ref="Q52:T52"/>
    <mergeCell ref="Q53:T53"/>
    <mergeCell ref="Q47:T47"/>
    <mergeCell ref="Q48:T48"/>
    <mergeCell ref="Q51:T51"/>
    <mergeCell ref="Q50:T50"/>
    <mergeCell ref="Q42:T42"/>
    <mergeCell ref="Q43:T43"/>
    <mergeCell ref="Q38:T38"/>
    <mergeCell ref="Q39:T39"/>
    <mergeCell ref="H51:K51"/>
    <mergeCell ref="H14:K14"/>
    <mergeCell ref="H17:K17"/>
    <mergeCell ref="H30:K30"/>
    <mergeCell ref="Q30:T30"/>
    <mergeCell ref="Q26:T26"/>
    <mergeCell ref="H28:K28"/>
    <mergeCell ref="Q28:T28"/>
    <mergeCell ref="H29:K29"/>
    <mergeCell ref="G12:I12"/>
    <mergeCell ref="J7:L7"/>
    <mergeCell ref="J8:L8"/>
    <mergeCell ref="J9:L9"/>
    <mergeCell ref="J10:L10"/>
    <mergeCell ref="J11:L11"/>
    <mergeCell ref="J12:L12"/>
    <mergeCell ref="E15:G15"/>
    <mergeCell ref="B16:D16"/>
    <mergeCell ref="E16:G16"/>
    <mergeCell ref="B13:D13"/>
    <mergeCell ref="B15:D15"/>
    <mergeCell ref="E14:G14"/>
    <mergeCell ref="Q29:T29"/>
    <mergeCell ref="G11:I11"/>
    <mergeCell ref="B31:D31"/>
    <mergeCell ref="E31:G31"/>
    <mergeCell ref="H31:K31"/>
    <mergeCell ref="Q31:T31"/>
    <mergeCell ref="B32:D32"/>
    <mergeCell ref="E32:G32"/>
    <mergeCell ref="H32:K32"/>
    <mergeCell ref="Q32:T32"/>
    <mergeCell ref="B20:D20"/>
    <mergeCell ref="E20:G20"/>
    <mergeCell ref="H20:K20"/>
    <mergeCell ref="Q20:T20"/>
    <mergeCell ref="B24:D24"/>
    <mergeCell ref="E24:G24"/>
    <mergeCell ref="H24:K24"/>
    <mergeCell ref="Q24:T24"/>
    <mergeCell ref="B25:D25"/>
    <mergeCell ref="E25:G25"/>
    <mergeCell ref="H25:K25"/>
    <mergeCell ref="Q25:T25"/>
    <mergeCell ref="B26:D26"/>
    <mergeCell ref="E26:G26"/>
    <mergeCell ref="A55:G58"/>
    <mergeCell ref="B27:D27"/>
    <mergeCell ref="E27:G27"/>
    <mergeCell ref="H27:K27"/>
    <mergeCell ref="Q27:T27"/>
    <mergeCell ref="A1:E1"/>
    <mergeCell ref="A8:E12"/>
    <mergeCell ref="A7:E7"/>
    <mergeCell ref="B21:D21"/>
    <mergeCell ref="E21:G21"/>
    <mergeCell ref="H21:K21"/>
    <mergeCell ref="Q21:T21"/>
    <mergeCell ref="B22:D22"/>
    <mergeCell ref="E22:G22"/>
    <mergeCell ref="H22:K22"/>
    <mergeCell ref="Q22:T22"/>
    <mergeCell ref="B23:D23"/>
    <mergeCell ref="E23:G23"/>
    <mergeCell ref="H23:K23"/>
    <mergeCell ref="Q23:T23"/>
    <mergeCell ref="G7:I7"/>
    <mergeCell ref="G8:I8"/>
    <mergeCell ref="G9:I9"/>
    <mergeCell ref="G10:I10"/>
  </mergeCells>
  <phoneticPr fontId="0" type="noConversion"/>
  <conditionalFormatting sqref="A16">
    <cfRule type="expression" priority="205">
      <formula>AND($M16="disallow",$W16="")</formula>
    </cfRule>
  </conditionalFormatting>
  <conditionalFormatting sqref="B16:D16">
    <cfRule type="expression" priority="204">
      <formula>AND($M16="disallow",$W16="")</formula>
    </cfRule>
  </conditionalFormatting>
  <conditionalFormatting sqref="E16:G16">
    <cfRule type="expression" priority="203">
      <formula>AND($M16="disallow",$W16="")</formula>
    </cfRule>
  </conditionalFormatting>
  <conditionalFormatting sqref="H16:K16">
    <cfRule type="expression" priority="202">
      <formula>AND($M$14="disallow",$W16="")</formula>
    </cfRule>
  </conditionalFormatting>
  <conditionalFormatting sqref="L16">
    <cfRule type="expression" priority="201">
      <formula>AND($M16="disallow",$W16="")</formula>
    </cfRule>
  </conditionalFormatting>
  <conditionalFormatting sqref="B16:D16">
    <cfRule type="expression" priority="200">
      <formula>AND($M16="disallow",$W16="")</formula>
    </cfRule>
  </conditionalFormatting>
  <conditionalFormatting sqref="E16:G16">
    <cfRule type="expression" priority="199">
      <formula>AND($M16="disallow",$W16="")</formula>
    </cfRule>
  </conditionalFormatting>
  <conditionalFormatting sqref="H16:K16">
    <cfRule type="expression" priority="198">
      <formula>AND($M$14="disallow",$W16="")</formula>
    </cfRule>
  </conditionalFormatting>
  <conditionalFormatting sqref="L16">
    <cfRule type="expression" priority="197">
      <formula>AND($M16="disallow",$W16="")</formula>
    </cfRule>
  </conditionalFormatting>
  <conditionalFormatting sqref="A16">
    <cfRule type="expression" priority="196">
      <formula>AND($M16="disallow",$W16="")</formula>
    </cfRule>
  </conditionalFormatting>
  <conditionalFormatting sqref="A16">
    <cfRule type="expression" dxfId="252" priority="195">
      <formula>AND($M16="disallow",$W16="")</formula>
    </cfRule>
  </conditionalFormatting>
  <conditionalFormatting sqref="B16:D16">
    <cfRule type="expression" dxfId="251" priority="194">
      <formula>AND($M16="disallow",$W16="")</formula>
    </cfRule>
  </conditionalFormatting>
  <conditionalFormatting sqref="E16:G16">
    <cfRule type="expression" dxfId="250" priority="193">
      <formula>AND($M16="disallow",$W16="")</formula>
    </cfRule>
  </conditionalFormatting>
  <conditionalFormatting sqref="H16:K16">
    <cfRule type="expression" dxfId="249" priority="192">
      <formula>AND($M$14="disallow",$W16="")</formula>
    </cfRule>
  </conditionalFormatting>
  <conditionalFormatting sqref="L16">
    <cfRule type="expression" dxfId="248" priority="191">
      <formula>AND($M16="disallow",$W16="")</formula>
    </cfRule>
  </conditionalFormatting>
  <conditionalFormatting sqref="B16:D16">
    <cfRule type="expression" priority="190">
      <formula>AND($M16="disallow",$W16="")</formula>
    </cfRule>
  </conditionalFormatting>
  <conditionalFormatting sqref="E16:G16">
    <cfRule type="expression" priority="189">
      <formula>AND($M16="disallow",$W16="")</formula>
    </cfRule>
  </conditionalFormatting>
  <conditionalFormatting sqref="H16:K16">
    <cfRule type="expression" priority="188">
      <formula>AND($M$14="disallow",$W16="")</formula>
    </cfRule>
  </conditionalFormatting>
  <conditionalFormatting sqref="L16">
    <cfRule type="expression" priority="187">
      <formula>AND($M16="disallow",$W16="")</formula>
    </cfRule>
  </conditionalFormatting>
  <conditionalFormatting sqref="A16">
    <cfRule type="expression" priority="186">
      <formula>AND($M16="disallow",$W16="")</formula>
    </cfRule>
  </conditionalFormatting>
  <conditionalFormatting sqref="A16">
    <cfRule type="expression" dxfId="247" priority="185">
      <formula>AND($M16="disallow",$W16="")</formula>
    </cfRule>
  </conditionalFormatting>
  <conditionalFormatting sqref="B16:D16">
    <cfRule type="expression" dxfId="246" priority="184">
      <formula>AND($M16="disallow",$W16="")</formula>
    </cfRule>
  </conditionalFormatting>
  <conditionalFormatting sqref="E16:G16">
    <cfRule type="expression" dxfId="245" priority="183">
      <formula>AND($M16="disallow",$W16="")</formula>
    </cfRule>
  </conditionalFormatting>
  <conditionalFormatting sqref="H16:K16">
    <cfRule type="expression" dxfId="244" priority="182">
      <formula>AND($M$14="disallow",$W16="")</formula>
    </cfRule>
  </conditionalFormatting>
  <conditionalFormatting sqref="L16">
    <cfRule type="expression" dxfId="243" priority="181">
      <formula>AND($M16="disallow",$W16="")</formula>
    </cfRule>
  </conditionalFormatting>
  <conditionalFormatting sqref="L54:L55 L57">
    <cfRule type="expression" dxfId="242" priority="228">
      <formula>$M$56&lt;4</formula>
    </cfRule>
  </conditionalFormatting>
  <conditionalFormatting sqref="G5:K5">
    <cfRule type="expression" dxfId="241" priority="54">
      <formula>$M$14&gt;0</formula>
    </cfRule>
  </conditionalFormatting>
  <conditionalFormatting sqref="A16:L16">
    <cfRule type="expression" dxfId="240" priority="53">
      <formula>$M16="disallow"</formula>
    </cfRule>
  </conditionalFormatting>
  <conditionalFormatting sqref="A18:A53">
    <cfRule type="expression" priority="52">
      <formula>AND($M18="disallow",$W18="")</formula>
    </cfRule>
  </conditionalFormatting>
  <conditionalFormatting sqref="B18:D53">
    <cfRule type="expression" priority="51">
      <formula>AND($M18="disallow",$W18="")</formula>
    </cfRule>
  </conditionalFormatting>
  <conditionalFormatting sqref="E18:G53">
    <cfRule type="expression" priority="50">
      <formula>AND($M18="disallow",$W18="")</formula>
    </cfRule>
  </conditionalFormatting>
  <conditionalFormatting sqref="H18:K53">
    <cfRule type="expression" priority="49">
      <formula>AND($M$14="disallow",$W18="")</formula>
    </cfRule>
  </conditionalFormatting>
  <conditionalFormatting sqref="L18:L53">
    <cfRule type="expression" priority="48">
      <formula>AND($M18="disallow",$W18="")</formula>
    </cfRule>
  </conditionalFormatting>
  <conditionalFormatting sqref="B18:D53">
    <cfRule type="expression" priority="47">
      <formula>AND($M18="disallow",$W18="")</formula>
    </cfRule>
  </conditionalFormatting>
  <conditionalFormatting sqref="E18:G53">
    <cfRule type="expression" priority="46">
      <formula>AND($M18="disallow",$W18="")</formula>
    </cfRule>
  </conditionalFormatting>
  <conditionalFormatting sqref="H18:K53">
    <cfRule type="expression" priority="45">
      <formula>AND($M$14="disallow",$W18="")</formula>
    </cfRule>
  </conditionalFormatting>
  <conditionalFormatting sqref="L18:L53">
    <cfRule type="expression" priority="44">
      <formula>AND($M18="disallow",$W18="")</formula>
    </cfRule>
  </conditionalFormatting>
  <conditionalFormatting sqref="A18:A53">
    <cfRule type="expression" priority="43">
      <formula>AND($M18="disallow",$W18="")</formula>
    </cfRule>
  </conditionalFormatting>
  <conditionalFormatting sqref="A18:A53">
    <cfRule type="expression" dxfId="239" priority="42">
      <formula>AND($M18="disallow",$W18="")</formula>
    </cfRule>
  </conditionalFormatting>
  <conditionalFormatting sqref="B18:D53">
    <cfRule type="expression" dxfId="238" priority="41">
      <formula>AND($M18="disallow",$W18="")</formula>
    </cfRule>
  </conditionalFormatting>
  <conditionalFormatting sqref="E18:G53">
    <cfRule type="expression" dxfId="237" priority="40">
      <formula>AND($M18="disallow",$W18="")</formula>
    </cfRule>
  </conditionalFormatting>
  <conditionalFormatting sqref="H18:K53">
    <cfRule type="expression" dxfId="236" priority="39">
      <formula>AND($M$14="disallow",$W18="")</formula>
    </cfRule>
  </conditionalFormatting>
  <conditionalFormatting sqref="L18:L53">
    <cfRule type="expression" dxfId="235" priority="38">
      <formula>AND($M18="disallow",$W18="")</formula>
    </cfRule>
  </conditionalFormatting>
  <conditionalFormatting sqref="B18:D53">
    <cfRule type="expression" priority="37">
      <formula>AND($M18="disallow",$W18="")</formula>
    </cfRule>
  </conditionalFormatting>
  <conditionalFormatting sqref="E18:G53">
    <cfRule type="expression" priority="36">
      <formula>AND($M18="disallow",$W18="")</formula>
    </cfRule>
  </conditionalFormatting>
  <conditionalFormatting sqref="H18:K53">
    <cfRule type="expression" priority="35">
      <formula>AND($M$14="disallow",$W18="")</formula>
    </cfRule>
  </conditionalFormatting>
  <conditionalFormatting sqref="L18:L53">
    <cfRule type="expression" priority="34">
      <formula>AND($M18="disallow",$W18="")</formula>
    </cfRule>
  </conditionalFormatting>
  <conditionalFormatting sqref="A18:A53">
    <cfRule type="expression" priority="33">
      <formula>AND($M18="disallow",$W18="")</formula>
    </cfRule>
  </conditionalFormatting>
  <conditionalFormatting sqref="A18:A53">
    <cfRule type="expression" dxfId="234" priority="32">
      <formula>AND($M18="disallow",$W18="")</formula>
    </cfRule>
  </conditionalFormatting>
  <conditionalFormatting sqref="B18:D53">
    <cfRule type="expression" dxfId="233" priority="31">
      <formula>AND($M18="disallow",$W18="")</formula>
    </cfRule>
  </conditionalFormatting>
  <conditionalFormatting sqref="E18:G53">
    <cfRule type="expression" dxfId="232" priority="30">
      <formula>AND($M18="disallow",$W18="")</formula>
    </cfRule>
  </conditionalFormatting>
  <conditionalFormatting sqref="H18:K53">
    <cfRule type="expression" dxfId="231" priority="29">
      <formula>AND($M$14="disallow",$W18="")</formula>
    </cfRule>
  </conditionalFormatting>
  <conditionalFormatting sqref="L18:L53">
    <cfRule type="expression" dxfId="230" priority="28">
      <formula>AND($M18="disallow",$W18="")</formula>
    </cfRule>
  </conditionalFormatting>
  <conditionalFormatting sqref="A18:L53">
    <cfRule type="expression" dxfId="229" priority="27">
      <formula>$M18="disallow"</formula>
    </cfRule>
  </conditionalFormatting>
  <conditionalFormatting sqref="A17">
    <cfRule type="expression" priority="26">
      <formula>AND($M17="disallow",$W17="")</formula>
    </cfRule>
  </conditionalFormatting>
  <conditionalFormatting sqref="B17:D17">
    <cfRule type="expression" priority="25">
      <formula>AND($M17="disallow",$W17="")</formula>
    </cfRule>
  </conditionalFormatting>
  <conditionalFormatting sqref="E17:G17">
    <cfRule type="expression" priority="24">
      <formula>AND($M17="disallow",$W17="")</formula>
    </cfRule>
  </conditionalFormatting>
  <conditionalFormatting sqref="H17:K17">
    <cfRule type="expression" priority="23">
      <formula>AND($M$14="disallow",$W17="")</formula>
    </cfRule>
  </conditionalFormatting>
  <conditionalFormatting sqref="L17">
    <cfRule type="expression" priority="22">
      <formula>AND($M17="disallow",$W17="")</formula>
    </cfRule>
  </conditionalFormatting>
  <conditionalFormatting sqref="B17:D17">
    <cfRule type="expression" priority="21">
      <formula>AND($M17="disallow",$W17="")</formula>
    </cfRule>
  </conditionalFormatting>
  <conditionalFormatting sqref="E17:G17">
    <cfRule type="expression" priority="20">
      <formula>AND($M17="disallow",$W17="")</formula>
    </cfRule>
  </conditionalFormatting>
  <conditionalFormatting sqref="H17:K17">
    <cfRule type="expression" priority="19">
      <formula>AND($M$14="disallow",$W17="")</formula>
    </cfRule>
  </conditionalFormatting>
  <conditionalFormatting sqref="L17">
    <cfRule type="expression" priority="18">
      <formula>AND($M17="disallow",$W17="")</formula>
    </cfRule>
  </conditionalFormatting>
  <conditionalFormatting sqref="A17">
    <cfRule type="expression" priority="17">
      <formula>AND($M17="disallow",$W17="")</formula>
    </cfRule>
  </conditionalFormatting>
  <conditionalFormatting sqref="A17">
    <cfRule type="expression" dxfId="228" priority="16">
      <formula>AND($M17="disallow",$W17="")</formula>
    </cfRule>
  </conditionalFormatting>
  <conditionalFormatting sqref="B17:D17">
    <cfRule type="expression" dxfId="227" priority="15">
      <formula>AND($M17="disallow",$W17="")</formula>
    </cfRule>
  </conditionalFormatting>
  <conditionalFormatting sqref="E17:G17">
    <cfRule type="expression" dxfId="226" priority="14">
      <formula>AND($M17="disallow",$W17="")</formula>
    </cfRule>
  </conditionalFormatting>
  <conditionalFormatting sqref="H17:K17">
    <cfRule type="expression" dxfId="225" priority="13">
      <formula>AND($M$14="disallow",$W17="")</formula>
    </cfRule>
  </conditionalFormatting>
  <conditionalFormatting sqref="L17">
    <cfRule type="expression" dxfId="224" priority="12">
      <formula>AND($M17="disallow",$W17="")</formula>
    </cfRule>
  </conditionalFormatting>
  <conditionalFormatting sqref="B17:D17">
    <cfRule type="expression" priority="11">
      <formula>AND($M17="disallow",$W17="")</formula>
    </cfRule>
  </conditionalFormatting>
  <conditionalFormatting sqref="E17:G17">
    <cfRule type="expression" priority="10">
      <formula>AND($M17="disallow",$W17="")</formula>
    </cfRule>
  </conditionalFormatting>
  <conditionalFormatting sqref="H17:K17">
    <cfRule type="expression" priority="9">
      <formula>AND($M$14="disallow",$W17="")</formula>
    </cfRule>
  </conditionalFormatting>
  <conditionalFormatting sqref="L17">
    <cfRule type="expression" priority="8">
      <formula>AND($M17="disallow",$W17="")</formula>
    </cfRule>
  </conditionalFormatting>
  <conditionalFormatting sqref="A17">
    <cfRule type="expression" priority="7">
      <formula>AND($M17="disallow",$W17="")</formula>
    </cfRule>
  </conditionalFormatting>
  <conditionalFormatting sqref="A17">
    <cfRule type="expression" dxfId="223" priority="6">
      <formula>AND($M17="disallow",$W17="")</formula>
    </cfRule>
  </conditionalFormatting>
  <conditionalFormatting sqref="B17:D17">
    <cfRule type="expression" dxfId="222" priority="5">
      <formula>AND($M17="disallow",$W17="")</formula>
    </cfRule>
  </conditionalFormatting>
  <conditionalFormatting sqref="E17:G17">
    <cfRule type="expression" dxfId="221" priority="4">
      <formula>AND($M17="disallow",$W17="")</formula>
    </cfRule>
  </conditionalFormatting>
  <conditionalFormatting sqref="H17:K17">
    <cfRule type="expression" dxfId="220" priority="3">
      <formula>AND($M$14="disallow",$W17="")</formula>
    </cfRule>
  </conditionalFormatting>
  <conditionalFormatting sqref="L17">
    <cfRule type="expression" dxfId="219" priority="2">
      <formula>AND($M17="disallow",$W17="")</formula>
    </cfRule>
  </conditionalFormatting>
  <conditionalFormatting sqref="A17:L17">
    <cfRule type="expression" dxfId="218" priority="1">
      <formula>$M17="disallow"</formula>
    </cfRule>
  </conditionalFormatting>
  <dataValidations count="1">
    <dataValidation type="date" operator="greaterThan" allowBlank="1" showInputMessage="1" showErrorMessage="1" promptTitle="date format" prompt="Please use date format mm/dd/yy" sqref="A16:A53" xr:uid="{00000000-0002-0000-0800-000000000000}">
      <formula1>40909</formula1>
    </dataValidation>
  </dataValidations>
  <pageMargins left="0.25" right="0.25" top="0.25" bottom="0.25" header="0.25" footer="0"/>
  <pageSetup scale="75" orientation="landscape" r:id="rId1"/>
  <headerFooter alignWithMargins="0">
    <oddHeader xml:space="preserve">&amp;L&amp;"Arial,Bold"&amp;14Office Expense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76</vt:i4>
      </vt:variant>
    </vt:vector>
  </HeadingPairs>
  <TitlesOfParts>
    <vt:vector size="91" baseType="lpstr">
      <vt:lpstr>Vendor IDS</vt:lpstr>
      <vt:lpstr>Summary</vt:lpstr>
      <vt:lpstr>email-approvals</vt:lpstr>
      <vt:lpstr>Deadlines</vt:lpstr>
      <vt:lpstr>Transportation</vt:lpstr>
      <vt:lpstr>Mileage</vt:lpstr>
      <vt:lpstr>Donor</vt:lpstr>
      <vt:lpstr>Meals-Donor</vt:lpstr>
      <vt:lpstr>Office</vt:lpstr>
      <vt:lpstr>Out-of-town</vt:lpstr>
      <vt:lpstr>Professional Growth</vt:lpstr>
      <vt:lpstr>Min Ops</vt:lpstr>
      <vt:lpstr>Meals-Students</vt:lpstr>
      <vt:lpstr>Equipment</vt:lpstr>
      <vt:lpstr>2nd page</vt:lpstr>
      <vt:lpstr>BatchNumber</vt:lpstr>
      <vt:lpstr>Capital_amt</vt:lpstr>
      <vt:lpstr>capitalcode</vt:lpstr>
      <vt:lpstr>Category</vt:lpstr>
      <vt:lpstr>City_Deadlines</vt:lpstr>
      <vt:lpstr>current_time</vt:lpstr>
      <vt:lpstr>Date_Processed</vt:lpstr>
      <vt:lpstr>Date_RCVD</vt:lpstr>
      <vt:lpstr>dateofexp</vt:lpstr>
      <vt:lpstr>dateofexpense</vt:lpstr>
      <vt:lpstr>dealine_time</vt:lpstr>
      <vt:lpstr>Description</vt:lpstr>
      <vt:lpstr>Donor_amt</vt:lpstr>
      <vt:lpstr>donorcode</vt:lpstr>
      <vt:lpstr>Employees</vt:lpstr>
      <vt:lpstr>Equip_amt</vt:lpstr>
      <vt:lpstr>equipcode</vt:lpstr>
      <vt:lpstr>expense_date</vt:lpstr>
      <vt:lpstr>expensedate</vt:lpstr>
      <vt:lpstr>Fiscal_Start_Date</vt:lpstr>
      <vt:lpstr>FundCode</vt:lpstr>
      <vt:lpstr>FundNumber</vt:lpstr>
      <vt:lpstr>Growth_amt</vt:lpstr>
      <vt:lpstr>growthcode</vt:lpstr>
      <vt:lpstr>Invoice_number</vt:lpstr>
      <vt:lpstr>lookup_date</vt:lpstr>
      <vt:lpstr>Ministry_amt</vt:lpstr>
      <vt:lpstr>ministrycode</vt:lpstr>
      <vt:lpstr>new_rate</vt:lpstr>
      <vt:lpstr>new_rate_date</vt:lpstr>
      <vt:lpstr>Office_amt</vt:lpstr>
      <vt:lpstr>officecode</vt:lpstr>
      <vt:lpstr>old_rate</vt:lpstr>
      <vt:lpstr>pagecode</vt:lpstr>
      <vt:lpstr>pcode</vt:lpstr>
      <vt:lpstr>personalcode</vt:lpstr>
      <vt:lpstr>Plan_amt</vt:lpstr>
      <vt:lpstr>'2nd page'!Print_Area</vt:lpstr>
      <vt:lpstr>Donor!Print_Area</vt:lpstr>
      <vt:lpstr>Equipment!Print_Area</vt:lpstr>
      <vt:lpstr>'Meals-Donor'!Print_Area</vt:lpstr>
      <vt:lpstr>'Meals-Students'!Print_Area</vt:lpstr>
      <vt:lpstr>Mileage!Print_Area</vt:lpstr>
      <vt:lpstr>'Min Ops'!Print_Area</vt:lpstr>
      <vt:lpstr>Office!Print_Area</vt:lpstr>
      <vt:lpstr>'Out-of-town'!Print_Area</vt:lpstr>
      <vt:lpstr>'Professional Growth'!Print_Area</vt:lpstr>
      <vt:lpstr>Summary!Print_Area</vt:lpstr>
      <vt:lpstr>Transportation!Print_Area</vt:lpstr>
      <vt:lpstr>ProcessType</vt:lpstr>
      <vt:lpstr>ProjectCode</vt:lpstr>
      <vt:lpstr>projects_ref</vt:lpstr>
      <vt:lpstr>Pymt_method</vt:lpstr>
      <vt:lpstr>RegDeadline</vt:lpstr>
      <vt:lpstr>second_amt</vt:lpstr>
      <vt:lpstr>secondcode</vt:lpstr>
      <vt:lpstr>submit_date</vt:lpstr>
      <vt:lpstr>SubmitDate</vt:lpstr>
      <vt:lpstr>Supervisor</vt:lpstr>
      <vt:lpstr>Supervisors</vt:lpstr>
      <vt:lpstr>Today</vt:lpstr>
      <vt:lpstr>today_30</vt:lpstr>
      <vt:lpstr>today_60</vt:lpstr>
      <vt:lpstr>todayminus30</vt:lpstr>
      <vt:lpstr>todayminussixty</vt:lpstr>
      <vt:lpstr>todaysdate</vt:lpstr>
      <vt:lpstr>Total_Reimb</vt:lpstr>
      <vt:lpstr>transcode</vt:lpstr>
      <vt:lpstr>transportation_amt</vt:lpstr>
      <vt:lpstr>Travel_amt</vt:lpstr>
      <vt:lpstr>travelcode</vt:lpstr>
      <vt:lpstr>vendor_address</vt:lpstr>
      <vt:lpstr>Vendor_id</vt:lpstr>
      <vt:lpstr>vendor2</vt:lpstr>
      <vt:lpstr>Vendors</vt:lpstr>
      <vt:lpstr>warning_date</vt:lpstr>
    </vt:vector>
  </TitlesOfParts>
  <Company>International Students,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Jantz</dc:creator>
  <cp:lastModifiedBy>Sheldon Jantz</cp:lastModifiedBy>
  <cp:lastPrinted>2018-11-02T20:36:54Z</cp:lastPrinted>
  <dcterms:created xsi:type="dcterms:W3CDTF">1999-05-25T08:04:26Z</dcterms:created>
  <dcterms:modified xsi:type="dcterms:W3CDTF">2019-06-04T16:18:41Z</dcterms:modified>
</cp:coreProperties>
</file>